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0.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11.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E:\Repositorio\AJOnline\Actividad Por Jurisdiccion\Partidos Judiciales\BARCELONA\"/>
    </mc:Choice>
  </mc:AlternateContent>
  <workbookProtection workbookAlgorithmName="SHA-512" workbookHashValue="SH09V4MkYBWbgSFjkyzTPBxhAsBIThMdnZXz65iPFHWXB+w8AevOalVu5fzJAKJMr93vBE8s+BIPSoH6ru+nsw==" workbookSaltValue="NXTNlbkE8XJAvp4rB9Sa+w==" workbookSpinCount="100000" lockStructure="1"/>
  <bookViews>
    <workbookView xWindow="-120" yWindow="-120" windowWidth="29040" windowHeight="15720" tabRatio="846"/>
  </bookViews>
  <sheets>
    <sheet name="Criterios" sheetId="9" r:id="rId1"/>
    <sheet name="NºAsuntos" sheetId="2" r:id="rId2"/>
    <sheet name="Modulos" sheetId="10" state="veryHidden" r:id="rId3"/>
    <sheet name="Resol  Asuntos" sheetId="3" r:id="rId4"/>
    <sheet name="Ejecu  Sentencias" sheetId="5" r:id="rId5"/>
    <sheet name="Evolución" sheetId="7" r:id="rId6"/>
    <sheet name="Tasas" sheetId="6" r:id="rId7"/>
    <sheet name="Indicadores" sheetId="11" state="veryHidden" r:id="rId8"/>
    <sheet name="Evolucion" sheetId="12" state="veryHidden" r:id="rId9"/>
    <sheet name="Juez" sheetId="14" state="veryHidden" r:id="rId10"/>
    <sheet name="Definiciones" sheetId="15" r:id="rId11"/>
    <sheet name="Datos" sheetId="8" state="veryHidden" r:id="rId12"/>
    <sheet name="DatosB" sheetId="13" state="veryHidden" r:id="rId13"/>
    <sheet name="Indicadores CA" sheetId="16" state="veryHidden" r:id="rId14"/>
    <sheet name="Indicadores CA Reducida" sheetId="17" state="veryHidden" r:id="rId15"/>
    <sheet name="Jueces" sheetId="18" state="veryHidden" r:id="rId16"/>
    <sheet name="DatosP" sheetId="19" state="veryHidden" r:id="rId17"/>
    <sheet name="Indicadores Penal" sheetId="20" state="veryHidden" r:id="rId18"/>
    <sheet name="PyL" sheetId="22" state="veryHidden" r:id="rId19"/>
    <sheet name="Resumen" sheetId="21" state="veryHidden" r:id="rId20"/>
  </sheets>
  <definedNames>
    <definedName name="_xlnm._FilterDatabase" localSheetId="11" hidden="1">Datos!$A$5:$X$19</definedName>
    <definedName name="_xlnm._FilterDatabase" localSheetId="12" hidden="1">DatosB!$A$5:$X$19</definedName>
    <definedName name="_Toc505678886" localSheetId="12">DatosB!#REF!</definedName>
    <definedName name="agrupada">Criterios!$D$13</definedName>
    <definedName name="Año">Criterios!$B$5</definedName>
    <definedName name="_xlnm.Print_Area" localSheetId="0">Criterios!$A$1:$F$18</definedName>
    <definedName name="_xlnm.Print_Area" localSheetId="11">Datos!$A$5:$BM$19</definedName>
    <definedName name="_xlnm.Print_Area" localSheetId="12">DatosB!$A$5:$BM$19</definedName>
    <definedName name="_xlnm.Print_Area" localSheetId="10">Definiciones!$A$1:$B$19</definedName>
    <definedName name="_xlnm.Print_Area" localSheetId="4">'Ejecu  Sentencias'!$A$1:$E$22</definedName>
    <definedName name="_xlnm.Print_Area" localSheetId="8">Evolucion!$C$1:$K$30</definedName>
    <definedName name="_xlnm.Print_Area" localSheetId="5">Evolución!$A$1:$K$23</definedName>
    <definedName name="_xlnm.Print_Area" localSheetId="7">Indicadores!$A$1:$AX$28</definedName>
    <definedName name="_xlnm.Print_Area" localSheetId="13">'Indicadores CA'!$A$1:$BU$28</definedName>
    <definedName name="_xlnm.Print_Area" localSheetId="14">'Indicadores CA Reducida'!$A$1:$AX$28</definedName>
    <definedName name="_xlnm.Print_Area" localSheetId="17">'Indicadores Penal'!$A$1:$BC$28</definedName>
    <definedName name="_xlnm.Print_Area" localSheetId="9">Juez!$A$1:$AD$40</definedName>
    <definedName name="_xlnm.Print_Area" localSheetId="2">Modulos!$A$1:$M$23</definedName>
    <definedName name="_xlnm.Print_Area" localSheetId="1">NºAsuntos!$A$1:$J$23</definedName>
    <definedName name="_xlnm.Print_Area" localSheetId="18">PyL!$A$1:$E$25</definedName>
    <definedName name="_xlnm.Print_Area" localSheetId="3">'Resol  Asuntos'!$A$1:$I$22</definedName>
    <definedName name="_xlnm.Print_Area" localSheetId="19">Resumen!$A$1:$BE$28</definedName>
    <definedName name="_xlnm.Print_Area" localSheetId="6">Tasas!$A$1:$F$23</definedName>
    <definedName name="boletin">Criterios!$A$8</definedName>
    <definedName name="D_I">Criterios!$B$14</definedName>
    <definedName name="factor_trimestre">Criterios!$R$8</definedName>
    <definedName name="J_V">Criterios!$B$13</definedName>
    <definedName name="jurisdiccion">Criterios!$E$8</definedName>
    <definedName name="Monitorios">Criterios!#REF!</definedName>
    <definedName name="salto">Criterios!$Q$10</definedName>
    <definedName name="_xlnm.Print_Titles" localSheetId="11">Datos!$A:$A,Datos!$5:$7</definedName>
    <definedName name="_xlnm.Print_Titles" localSheetId="12">DatosB!$A:$A,DatosB!$5:$7</definedName>
    <definedName name="_xlnm.Print_Titles" localSheetId="4">'Ejecu  Sentencias'!$A:$A</definedName>
    <definedName name="_xlnm.Print_Titles" localSheetId="8">Evolucion!$C:$C,Evolucion!$5:$7</definedName>
    <definedName name="_xlnm.Print_Titles" localSheetId="5">Evolución!$A:$A</definedName>
    <definedName name="_xlnm.Print_Titles" localSheetId="7">Indicadores!$C:$C,Indicadores!$5:$7</definedName>
    <definedName name="_xlnm.Print_Titles" localSheetId="13">'Indicadores CA'!$C:$C,'Indicadores CA'!$5:$7</definedName>
    <definedName name="_xlnm.Print_Titles" localSheetId="14">'Indicadores CA Reducida'!$C:$C,'Indicadores CA Reducida'!$4:$7</definedName>
    <definedName name="_xlnm.Print_Titles" localSheetId="17">'Indicadores Penal'!$C:$C,'Indicadores Penal'!$5:$7</definedName>
    <definedName name="_xlnm.Print_Titles" localSheetId="9">Juez!$B:$B,Juez!$1:$4</definedName>
    <definedName name="_xlnm.Print_Titles" localSheetId="2">Modulos!$A:$A,Modulos!$1:$4</definedName>
    <definedName name="_xlnm.Print_Titles" localSheetId="1">NºAsuntos!$A:$A,NºAsuntos!$1:$4</definedName>
    <definedName name="_xlnm.Print_Titles" localSheetId="18">PyL!$1:$3</definedName>
    <definedName name="_xlnm.Print_Titles" localSheetId="3">'Resol  Asuntos'!$A:$A</definedName>
    <definedName name="_xlnm.Print_Titles" localSheetId="19">Resumen!$C:$C,Resumen!$5:$7</definedName>
    <definedName name="TrimFin">Criterios!$D$6</definedName>
    <definedName name="TrimIni">Criterios!$D$5</definedName>
    <definedName name="ultimoDiaTrim">Criterios!$Q$12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Z15" i="20" l="1"/>
  <c r="BZ16" i="20"/>
  <c r="BZ17" i="20"/>
  <c r="BZ10" i="20"/>
  <c r="BZ11" i="20"/>
  <c r="BZ12" i="20"/>
  <c r="BZ9" i="20"/>
  <c r="BQ17" i="2"/>
  <c r="BQ16" i="2"/>
  <c r="BQ15" i="2"/>
  <c r="BQ14" i="2"/>
  <c r="BQ12" i="2"/>
  <c r="BQ11" i="2"/>
  <c r="BQ10" i="2"/>
  <c r="BQ9" i="2"/>
  <c r="BZ17" i="3"/>
  <c r="BZ16" i="3"/>
  <c r="BZ15" i="3"/>
  <c r="BZ14" i="3"/>
  <c r="BZ12" i="3"/>
  <c r="BZ11" i="3"/>
  <c r="BZ10" i="3"/>
  <c r="BZ9" i="3"/>
  <c r="BZ17" i="21"/>
  <c r="BZ16" i="21"/>
  <c r="BZ15" i="21"/>
  <c r="BZ14" i="21"/>
  <c r="BZ12" i="21"/>
  <c r="BZ11" i="21"/>
  <c r="BZ10" i="21"/>
  <c r="BZ9" i="21"/>
  <c r="BZ17" i="17"/>
  <c r="BZ16" i="17"/>
  <c r="BZ15" i="17"/>
  <c r="BZ14" i="17"/>
  <c r="BZ12" i="17"/>
  <c r="BZ11" i="17"/>
  <c r="BZ10" i="17"/>
  <c r="BZ9" i="17"/>
  <c r="BZ17" i="16"/>
  <c r="BZ16" i="16"/>
  <c r="BZ15" i="16"/>
  <c r="BZ14" i="16"/>
  <c r="BZ12" i="16"/>
  <c r="BZ11" i="16"/>
  <c r="BZ10" i="16"/>
  <c r="BZ9" i="16"/>
  <c r="BZ10" i="14"/>
  <c r="BZ11" i="14"/>
  <c r="BZ12" i="14"/>
  <c r="BZ15" i="14"/>
  <c r="BZ16" i="14"/>
  <c r="BZ17" i="14"/>
  <c r="BZ9" i="14"/>
  <c r="AD9" i="14"/>
  <c r="BA26" i="20" l="1"/>
  <c r="BA25" i="20"/>
  <c r="BA13" i="20"/>
  <c r="EY18" i="19"/>
  <c r="EY13" i="19"/>
  <c r="EY18" i="8"/>
  <c r="EY13" i="8"/>
  <c r="EY18" i="13"/>
  <c r="EY13" i="13"/>
  <c r="EX18" i="19"/>
  <c r="EX13" i="19"/>
  <c r="BA20" i="20"/>
  <c r="BA21" i="20" l="1"/>
  <c r="BA19" i="20"/>
  <c r="EX18" i="8"/>
  <c r="EX13" i="8"/>
  <c r="EX13" i="13"/>
  <c r="EX18" i="13"/>
  <c r="AX12" i="21" l="1"/>
  <c r="AX10" i="21"/>
  <c r="AX26" i="21"/>
  <c r="AX25" i="21"/>
  <c r="AX18" i="21"/>
  <c r="AY18" i="20"/>
  <c r="AY26" i="20"/>
  <c r="AY25" i="20"/>
  <c r="AY13" i="20"/>
  <c r="AW17" i="20"/>
  <c r="AW16" i="20"/>
  <c r="AW26" i="20"/>
  <c r="AW25" i="20"/>
  <c r="AU16" i="17"/>
  <c r="AU17" i="17"/>
  <c r="AU15" i="17"/>
  <c r="AU10" i="17"/>
  <c r="AU11" i="17"/>
  <c r="AU12" i="17"/>
  <c r="AU9" i="17"/>
  <c r="AU26" i="17"/>
  <c r="AU25" i="17"/>
  <c r="BR18" i="16"/>
  <c r="BR26" i="16"/>
  <c r="BR25" i="16"/>
  <c r="BR13" i="16"/>
  <c r="BP16" i="16"/>
  <c r="BP17" i="16"/>
  <c r="BP15" i="16"/>
  <c r="BP10" i="16"/>
  <c r="BP11" i="16"/>
  <c r="BP12" i="16"/>
  <c r="BP9" i="16"/>
  <c r="EW18" i="19"/>
  <c r="EW18" i="8"/>
  <c r="BP26" i="16"/>
  <c r="BP25" i="16"/>
  <c r="EW13" i="13"/>
  <c r="EW18" i="13"/>
  <c r="AW16" i="11"/>
  <c r="AW17" i="11"/>
  <c r="AW15" i="11"/>
  <c r="AW10" i="11"/>
  <c r="AW11" i="11"/>
  <c r="AW12" i="11"/>
  <c r="AW9" i="11"/>
  <c r="AW26" i="11"/>
  <c r="AW25" i="11"/>
  <c r="EV18" i="19"/>
  <c r="EV13" i="19"/>
  <c r="EV18" i="8"/>
  <c r="EV13" i="8"/>
  <c r="EV18" i="13"/>
  <c r="EV13" i="13"/>
  <c r="W12" i="21"/>
  <c r="AY20" i="20"/>
  <c r="AW20" i="20"/>
  <c r="EV19" i="19" l="1"/>
  <c r="EW19" i="19"/>
  <c r="EW19" i="8"/>
  <c r="AW13" i="11"/>
  <c r="AU13" i="17"/>
  <c r="AW18" i="11"/>
  <c r="BP18" i="16"/>
  <c r="BP13" i="16"/>
  <c r="AX13" i="21"/>
  <c r="AY19" i="20"/>
  <c r="AW18" i="20"/>
  <c r="AW13" i="20"/>
  <c r="AU18" i="17"/>
  <c r="EV19" i="8"/>
  <c r="EV19" i="13"/>
  <c r="AU19" i="17" l="1"/>
  <c r="AX21" i="21"/>
  <c r="BR19" i="16"/>
  <c r="AW21" i="11"/>
  <c r="BB16" i="13"/>
  <c r="BA16" i="13"/>
  <c r="BD16" i="13" s="1"/>
  <c r="BB15" i="13"/>
  <c r="BA15" i="13"/>
  <c r="BF15" i="13" s="1"/>
  <c r="AZ16" i="13"/>
  <c r="AZ15" i="13"/>
  <c r="AY16" i="13"/>
  <c r="AY15" i="13"/>
  <c r="T16" i="14"/>
  <c r="T17" i="14"/>
  <c r="T15" i="14"/>
  <c r="T10" i="14"/>
  <c r="T11" i="14"/>
  <c r="T12" i="14"/>
  <c r="T9" i="14"/>
  <c r="AA5" i="21"/>
  <c r="Z5" i="21"/>
  <c r="U5" i="21"/>
  <c r="S5" i="21"/>
  <c r="S16" i="21"/>
  <c r="S18" i="21" s="1"/>
  <c r="S12" i="21"/>
  <c r="R12" i="17"/>
  <c r="R16" i="17"/>
  <c r="F10" i="17"/>
  <c r="F10" i="16"/>
  <c r="W17" i="16"/>
  <c r="W16" i="16"/>
  <c r="W15" i="16"/>
  <c r="W12" i="16"/>
  <c r="W11" i="16"/>
  <c r="W10" i="16"/>
  <c r="BA26" i="21"/>
  <c r="BA25" i="21"/>
  <c r="AZ26" i="21"/>
  <c r="AZ25" i="21"/>
  <c r="BB26" i="20"/>
  <c r="BB25" i="20"/>
  <c r="AW26" i="17"/>
  <c r="AW25" i="17"/>
  <c r="BT26" i="16"/>
  <c r="BS26" i="16"/>
  <c r="BT25" i="16"/>
  <c r="BT9" i="16"/>
  <c r="BU25" i="16"/>
  <c r="BU26" i="16" s="1"/>
  <c r="BV25" i="16"/>
  <c r="BV26" i="16" s="1"/>
  <c r="BS25" i="16"/>
  <c r="AJ12" i="16"/>
  <c r="AJ9" i="16"/>
  <c r="AE9" i="16"/>
  <c r="AE12" i="16"/>
  <c r="I12" i="16"/>
  <c r="H12" i="21"/>
  <c r="I12" i="21"/>
  <c r="I16" i="20"/>
  <c r="U26" i="20"/>
  <c r="V26" i="20"/>
  <c r="U25" i="20"/>
  <c r="V25" i="20"/>
  <c r="T26" i="17"/>
  <c r="U26" i="17"/>
  <c r="T25" i="17"/>
  <c r="U25" i="17"/>
  <c r="W26" i="16"/>
  <c r="X26" i="16"/>
  <c r="W25" i="16"/>
  <c r="X25" i="16"/>
  <c r="W10" i="21"/>
  <c r="U16" i="20"/>
  <c r="U17" i="20"/>
  <c r="U15" i="20"/>
  <c r="T16" i="17"/>
  <c r="T17" i="17"/>
  <c r="T15" i="17"/>
  <c r="T10" i="17"/>
  <c r="T11" i="17"/>
  <c r="T12" i="17"/>
  <c r="T9" i="17"/>
  <c r="W9" i="16"/>
  <c r="V13" i="20"/>
  <c r="U13" i="20"/>
  <c r="L9" i="16"/>
  <c r="L10" i="16"/>
  <c r="L11" i="16"/>
  <c r="L12" i="16"/>
  <c r="L15" i="16"/>
  <c r="L16" i="16"/>
  <c r="L17" i="16"/>
  <c r="L25" i="16"/>
  <c r="L26" i="16"/>
  <c r="K17" i="2"/>
  <c r="K16" i="2"/>
  <c r="K15" i="2"/>
  <c r="K12" i="2"/>
  <c r="K11" i="2"/>
  <c r="K10" i="2"/>
  <c r="K9" i="2"/>
  <c r="AL26" i="16"/>
  <c r="ES13" i="19"/>
  <c r="ES19" i="19" s="1"/>
  <c r="ES13" i="13"/>
  <c r="ES19" i="13" s="1"/>
  <c r="ES13" i="8"/>
  <c r="AJ18" i="16"/>
  <c r="AE18" i="16"/>
  <c r="ER18" i="19"/>
  <c r="ER13" i="19"/>
  <c r="EQ18" i="19"/>
  <c r="EQ13" i="19"/>
  <c r="EP18" i="19"/>
  <c r="EP13" i="19"/>
  <c r="EP19" i="19" s="1"/>
  <c r="M17" i="10"/>
  <c r="M16" i="10"/>
  <c r="M15" i="10"/>
  <c r="M12" i="10"/>
  <c r="M11" i="10"/>
  <c r="M10" i="10"/>
  <c r="M9" i="10"/>
  <c r="ER18" i="13"/>
  <c r="ER13" i="13"/>
  <c r="G17" i="10"/>
  <c r="G16" i="10"/>
  <c r="G15" i="10"/>
  <c r="G12" i="10"/>
  <c r="G11" i="10"/>
  <c r="G10" i="10"/>
  <c r="G9" i="10"/>
  <c r="AY17" i="11"/>
  <c r="AY16" i="11"/>
  <c r="AY15" i="11"/>
  <c r="AY12" i="11"/>
  <c r="AY11" i="11"/>
  <c r="AY10" i="11"/>
  <c r="AY9" i="11"/>
  <c r="ER18" i="8"/>
  <c r="ER13" i="8"/>
  <c r="EQ18" i="8"/>
  <c r="EQ13" i="8"/>
  <c r="EP18" i="8"/>
  <c r="EP13" i="8"/>
  <c r="N17" i="2"/>
  <c r="N16" i="2"/>
  <c r="N15" i="2"/>
  <c r="N12" i="2"/>
  <c r="N11" i="2"/>
  <c r="N10" i="2"/>
  <c r="N9" i="2"/>
  <c r="N13" i="2" s="1"/>
  <c r="M17" i="2"/>
  <c r="M16" i="2"/>
  <c r="M15" i="2"/>
  <c r="M12" i="2"/>
  <c r="M11" i="2"/>
  <c r="M10" i="2"/>
  <c r="M9" i="2"/>
  <c r="EO18" i="19"/>
  <c r="EO13" i="19"/>
  <c r="J11" i="17"/>
  <c r="J11" i="16"/>
  <c r="J12" i="16"/>
  <c r="J12" i="17"/>
  <c r="I12" i="17"/>
  <c r="A7" i="10"/>
  <c r="U16" i="16"/>
  <c r="U12" i="16"/>
  <c r="U11" i="16"/>
  <c r="U10" i="16"/>
  <c r="U9" i="16"/>
  <c r="R17" i="17"/>
  <c r="R15" i="17"/>
  <c r="R11" i="17"/>
  <c r="R10" i="17"/>
  <c r="R9" i="17"/>
  <c r="U17" i="16"/>
  <c r="U15" i="16"/>
  <c r="I16" i="17"/>
  <c r="I16" i="16"/>
  <c r="I15" i="17"/>
  <c r="I15" i="16"/>
  <c r="I11" i="17"/>
  <c r="I11" i="16"/>
  <c r="P12" i="21"/>
  <c r="Z10" i="21"/>
  <c r="AO16" i="20"/>
  <c r="AO17" i="20"/>
  <c r="AO15" i="20"/>
  <c r="BG16" i="16"/>
  <c r="BG17" i="16"/>
  <c r="BG15" i="16"/>
  <c r="BE10" i="21"/>
  <c r="BE26" i="21"/>
  <c r="BE25" i="21"/>
  <c r="BE18" i="21"/>
  <c r="BD12" i="21"/>
  <c r="BD13" i="21" s="1"/>
  <c r="BC12" i="21"/>
  <c r="BC13" i="21" s="1"/>
  <c r="BD26" i="21"/>
  <c r="BD25" i="21"/>
  <c r="BD18" i="21"/>
  <c r="BC26" i="21"/>
  <c r="BC25" i="21"/>
  <c r="BC18" i="21"/>
  <c r="AU10" i="21"/>
  <c r="AU12" i="21"/>
  <c r="K12" i="21"/>
  <c r="K10" i="21"/>
  <c r="J10" i="21"/>
  <c r="J11" i="21"/>
  <c r="J12" i="21"/>
  <c r="J9" i="21"/>
  <c r="O12" i="21"/>
  <c r="BG11" i="16"/>
  <c r="BG12" i="16"/>
  <c r="BG9" i="16"/>
  <c r="AQ16" i="20"/>
  <c r="AT13" i="13"/>
  <c r="AV13" i="13"/>
  <c r="AX13" i="13"/>
  <c r="CN13" i="19"/>
  <c r="AQ17" i="20"/>
  <c r="CO13" i="8"/>
  <c r="CP13" i="8"/>
  <c r="CN13" i="8"/>
  <c r="CN19" i="8" s="1"/>
  <c r="AG12" i="21"/>
  <c r="AK12" i="21"/>
  <c r="AK10" i="21"/>
  <c r="AC10" i="21"/>
  <c r="AC12" i="21"/>
  <c r="O18" i="21"/>
  <c r="A16" i="20"/>
  <c r="C16" i="20"/>
  <c r="E16" i="20"/>
  <c r="S16" i="20" s="1"/>
  <c r="G16" i="20"/>
  <c r="J16" i="20"/>
  <c r="K16" i="20"/>
  <c r="L16" i="20"/>
  <c r="O16" i="20"/>
  <c r="P16" i="20"/>
  <c r="AT16" i="20" s="1"/>
  <c r="W16" i="20"/>
  <c r="Y16" i="20"/>
  <c r="Z16" i="20"/>
  <c r="AA16" i="20"/>
  <c r="AB16" i="20"/>
  <c r="AC16" i="20"/>
  <c r="AD16" i="20"/>
  <c r="AE16" i="20"/>
  <c r="AF16" i="20"/>
  <c r="AG16" i="20"/>
  <c r="AK16" i="20"/>
  <c r="AL16" i="20"/>
  <c r="AM16" i="20"/>
  <c r="AN16" i="20"/>
  <c r="AR16" i="20"/>
  <c r="AU16" i="20"/>
  <c r="AV16" i="20"/>
  <c r="AX16" i="20"/>
  <c r="BB16" i="20"/>
  <c r="BC16" i="20"/>
  <c r="BA12" i="21"/>
  <c r="BA10" i="21"/>
  <c r="BB9" i="21"/>
  <c r="BB10" i="21"/>
  <c r="BB11" i="21"/>
  <c r="BB12" i="21"/>
  <c r="AY12" i="21"/>
  <c r="AY10" i="21"/>
  <c r="AW12" i="21"/>
  <c r="AW13" i="21" s="1"/>
  <c r="AW26" i="21"/>
  <c r="AW25" i="21"/>
  <c r="AU13" i="21"/>
  <c r="AU26" i="21"/>
  <c r="AU25" i="21"/>
  <c r="AS12" i="21"/>
  <c r="AS10" i="21"/>
  <c r="AS26" i="21"/>
  <c r="AS25" i="21"/>
  <c r="AS21" i="21"/>
  <c r="AQ26" i="21"/>
  <c r="AQ25" i="21"/>
  <c r="AN12" i="21"/>
  <c r="AN10" i="21"/>
  <c r="AM12" i="21"/>
  <c r="AM10" i="21"/>
  <c r="AL12" i="21"/>
  <c r="AL10" i="21"/>
  <c r="AO12" i="21"/>
  <c r="AO10" i="21"/>
  <c r="AJ12" i="21"/>
  <c r="AJ10" i="21"/>
  <c r="AI12" i="21"/>
  <c r="AI26" i="21"/>
  <c r="AI25" i="21"/>
  <c r="AG10" i="21"/>
  <c r="AG26" i="21"/>
  <c r="AG25" i="21"/>
  <c r="AE12" i="21"/>
  <c r="AE13" i="21" s="1"/>
  <c r="AE26" i="21"/>
  <c r="AE25" i="21"/>
  <c r="AC26" i="21"/>
  <c r="AC25" i="21"/>
  <c r="Z12" i="21"/>
  <c r="V26" i="21"/>
  <c r="V25" i="21"/>
  <c r="O10" i="21"/>
  <c r="I10" i="21"/>
  <c r="T26" i="21"/>
  <c r="T25" i="21"/>
  <c r="M10" i="21"/>
  <c r="M13" i="21" s="1"/>
  <c r="L10" i="21"/>
  <c r="L13" i="21" s="1"/>
  <c r="O26" i="21"/>
  <c r="O25" i="21"/>
  <c r="P25" i="21"/>
  <c r="P26" i="21"/>
  <c r="J26" i="21"/>
  <c r="J25" i="21"/>
  <c r="C30" i="21"/>
  <c r="AY26" i="21"/>
  <c r="AV26" i="21"/>
  <c r="AT26" i="21"/>
  <c r="AR26" i="21"/>
  <c r="AP26" i="21"/>
  <c r="AO26" i="21"/>
  <c r="AN26" i="21"/>
  <c r="AM26" i="21"/>
  <c r="AL26" i="21"/>
  <c r="AK26" i="21"/>
  <c r="AJ26" i="21"/>
  <c r="AH26" i="21"/>
  <c r="AF26" i="21"/>
  <c r="AD26" i="21"/>
  <c r="AB26" i="21"/>
  <c r="AA26" i="21"/>
  <c r="Z26" i="21"/>
  <c r="Y26" i="21"/>
  <c r="U26" i="21"/>
  <c r="S26" i="21"/>
  <c r="R26" i="21"/>
  <c r="Q26" i="21"/>
  <c r="N26" i="21"/>
  <c r="M26" i="21"/>
  <c r="L26" i="21"/>
  <c r="K26" i="21"/>
  <c r="I26" i="21"/>
  <c r="H26" i="21"/>
  <c r="G26" i="21"/>
  <c r="F26" i="21"/>
  <c r="E26" i="21"/>
  <c r="AY25" i="21"/>
  <c r="AV25" i="21"/>
  <c r="AT25" i="21"/>
  <c r="AR25" i="21"/>
  <c r="AP25" i="21"/>
  <c r="AO25" i="21"/>
  <c r="AN25" i="21"/>
  <c r="AM25" i="21"/>
  <c r="AL25" i="21"/>
  <c r="AK25" i="21"/>
  <c r="AJ25" i="21"/>
  <c r="AH25" i="21"/>
  <c r="AF25" i="21"/>
  <c r="AD25" i="21"/>
  <c r="AB25" i="21"/>
  <c r="AA25" i="21"/>
  <c r="Z25" i="21"/>
  <c r="Y25" i="21"/>
  <c r="U25" i="21"/>
  <c r="S25" i="21"/>
  <c r="R25" i="21"/>
  <c r="Q25" i="21"/>
  <c r="N25" i="21"/>
  <c r="M25" i="21"/>
  <c r="L25" i="21"/>
  <c r="K25" i="21"/>
  <c r="I25" i="21"/>
  <c r="H25" i="21"/>
  <c r="G25" i="21"/>
  <c r="F25" i="21"/>
  <c r="E25" i="21"/>
  <c r="C19" i="21"/>
  <c r="Y18" i="21"/>
  <c r="C18" i="21"/>
  <c r="I18" i="21"/>
  <c r="C17" i="21"/>
  <c r="A17" i="21"/>
  <c r="C16" i="21"/>
  <c r="A16" i="21"/>
  <c r="C15" i="21"/>
  <c r="A15" i="21"/>
  <c r="C14" i="21"/>
  <c r="C13" i="21"/>
  <c r="AZ12" i="21"/>
  <c r="AV12" i="21"/>
  <c r="AV13" i="21" s="1"/>
  <c r="AR12" i="21"/>
  <c r="AH12" i="21"/>
  <c r="AF12" i="21"/>
  <c r="AD12" i="21"/>
  <c r="AB12" i="21"/>
  <c r="Y12" i="21"/>
  <c r="Y13" i="21" s="1"/>
  <c r="N12" i="21"/>
  <c r="G12" i="21"/>
  <c r="E12" i="21"/>
  <c r="T12" i="21" s="1"/>
  <c r="C12" i="21"/>
  <c r="A12" i="21"/>
  <c r="AF11" i="21"/>
  <c r="F11" i="21" s="1"/>
  <c r="G11" i="21"/>
  <c r="E11" i="21"/>
  <c r="C11" i="21"/>
  <c r="A11" i="21"/>
  <c r="AZ10" i="21"/>
  <c r="AR10" i="21"/>
  <c r="AF10" i="21"/>
  <c r="AB10" i="21"/>
  <c r="N10" i="21"/>
  <c r="H10" i="21"/>
  <c r="H13" i="21" s="1"/>
  <c r="G10" i="21"/>
  <c r="F10" i="21"/>
  <c r="E10" i="21"/>
  <c r="S10" i="21" s="1"/>
  <c r="C10" i="21"/>
  <c r="A10" i="21"/>
  <c r="AF9" i="21"/>
  <c r="F9" i="21" s="1"/>
  <c r="G9" i="21"/>
  <c r="E9" i="21"/>
  <c r="C9" i="21"/>
  <c r="A9" i="21"/>
  <c r="C8" i="21"/>
  <c r="C7" i="21"/>
  <c r="C5" i="21"/>
  <c r="C2" i="21"/>
  <c r="C1" i="21"/>
  <c r="C19" i="20"/>
  <c r="C18" i="20"/>
  <c r="BC17" i="20"/>
  <c r="BB17" i="20"/>
  <c r="AX17" i="20"/>
  <c r="AV17" i="20"/>
  <c r="AU17" i="20"/>
  <c r="AR17" i="20"/>
  <c r="AN17" i="20"/>
  <c r="AM17" i="20"/>
  <c r="AL17" i="20"/>
  <c r="AK17" i="20"/>
  <c r="AG17" i="20"/>
  <c r="AF17" i="20"/>
  <c r="AE17" i="20"/>
  <c r="AD17" i="20"/>
  <c r="AC17" i="20"/>
  <c r="AB17" i="20"/>
  <c r="AA17" i="20"/>
  <c r="Z17" i="20"/>
  <c r="Y17" i="20"/>
  <c r="W17" i="20"/>
  <c r="P17" i="20"/>
  <c r="AT17" i="20" s="1"/>
  <c r="O17" i="20"/>
  <c r="N17" i="20"/>
  <c r="N18" i="20" s="1"/>
  <c r="M17" i="20"/>
  <c r="M18" i="20" s="1"/>
  <c r="L17" i="20"/>
  <c r="K17" i="20"/>
  <c r="J17" i="20"/>
  <c r="I17" i="20"/>
  <c r="G17" i="20"/>
  <c r="E17" i="20"/>
  <c r="S17" i="20" s="1"/>
  <c r="C17" i="20"/>
  <c r="A17" i="20"/>
  <c r="C15" i="20"/>
  <c r="A15" i="20"/>
  <c r="C14" i="20"/>
  <c r="C13" i="20"/>
  <c r="AX13" i="20"/>
  <c r="AM13" i="20"/>
  <c r="AL13" i="20"/>
  <c r="AK13" i="20"/>
  <c r="AJ13" i="20"/>
  <c r="AI13" i="20"/>
  <c r="AH13" i="20"/>
  <c r="AG13" i="20"/>
  <c r="AF13" i="20"/>
  <c r="AE13" i="20"/>
  <c r="AD13" i="20"/>
  <c r="AC13" i="20"/>
  <c r="AB13" i="20"/>
  <c r="Z13" i="20"/>
  <c r="Y13" i="20"/>
  <c r="W13" i="20"/>
  <c r="P13" i="20"/>
  <c r="O13" i="20"/>
  <c r="L13" i="20"/>
  <c r="C12" i="20"/>
  <c r="A12" i="20"/>
  <c r="C11" i="20"/>
  <c r="A11" i="20"/>
  <c r="C10" i="20"/>
  <c r="A10" i="20"/>
  <c r="N13" i="20"/>
  <c r="I13" i="20"/>
  <c r="C9" i="20"/>
  <c r="A9" i="20"/>
  <c r="C8" i="20"/>
  <c r="C7" i="20"/>
  <c r="C30" i="20"/>
  <c r="AZ26" i="20"/>
  <c r="AX26" i="20"/>
  <c r="AV26" i="20"/>
  <c r="AU26" i="20"/>
  <c r="AT26" i="20"/>
  <c r="AS26" i="20"/>
  <c r="AR26" i="20"/>
  <c r="AQ26" i="20"/>
  <c r="AP26" i="20"/>
  <c r="AO26" i="20"/>
  <c r="AN26" i="20"/>
  <c r="AM26" i="20"/>
  <c r="AL26" i="20"/>
  <c r="AK26" i="20"/>
  <c r="AJ26" i="20"/>
  <c r="AI26" i="20"/>
  <c r="AH26" i="20"/>
  <c r="AG26" i="20"/>
  <c r="AF26" i="20"/>
  <c r="AE26" i="20"/>
  <c r="AD26" i="20"/>
  <c r="AC26" i="20"/>
  <c r="AB26" i="20"/>
  <c r="AA26" i="20"/>
  <c r="Z26" i="20"/>
  <c r="Y26" i="20"/>
  <c r="X26" i="20"/>
  <c r="W26" i="20"/>
  <c r="T26" i="20"/>
  <c r="S26" i="20"/>
  <c r="R26" i="20"/>
  <c r="Q26" i="20"/>
  <c r="P26" i="20"/>
  <c r="O26" i="20"/>
  <c r="N26" i="20"/>
  <c r="M26" i="20"/>
  <c r="L26" i="20"/>
  <c r="K26" i="20"/>
  <c r="J26" i="20"/>
  <c r="I26" i="20"/>
  <c r="H26" i="20"/>
  <c r="G26" i="20"/>
  <c r="F26" i="20"/>
  <c r="E26" i="20"/>
  <c r="AZ25" i="20"/>
  <c r="AX25" i="20"/>
  <c r="AV25" i="20"/>
  <c r="AU25" i="20"/>
  <c r="AT25" i="20"/>
  <c r="AS25" i="20"/>
  <c r="AR25" i="20"/>
  <c r="AQ25" i="20"/>
  <c r="AP25" i="20"/>
  <c r="AO25" i="20"/>
  <c r="AN25" i="20"/>
  <c r="AM25" i="20"/>
  <c r="AL25" i="20"/>
  <c r="AK25" i="20"/>
  <c r="AJ25" i="20"/>
  <c r="AI25" i="20"/>
  <c r="AH25" i="20"/>
  <c r="AG25" i="20"/>
  <c r="AF25" i="20"/>
  <c r="AE25" i="20"/>
  <c r="AD25" i="20"/>
  <c r="AC25" i="20"/>
  <c r="AB25" i="20"/>
  <c r="AA25" i="20"/>
  <c r="Z25" i="20"/>
  <c r="Y25" i="20"/>
  <c r="X25" i="20"/>
  <c r="W25" i="20"/>
  <c r="T25" i="20"/>
  <c r="S25" i="20"/>
  <c r="R25" i="20"/>
  <c r="Q25" i="20"/>
  <c r="P25" i="20"/>
  <c r="O25" i="20"/>
  <c r="N25" i="20"/>
  <c r="M25" i="20"/>
  <c r="L25" i="20"/>
  <c r="K25" i="20"/>
  <c r="J25" i="20"/>
  <c r="I25" i="20"/>
  <c r="H25" i="20"/>
  <c r="G25" i="20"/>
  <c r="F25" i="20"/>
  <c r="E25" i="20"/>
  <c r="AZ13" i="20"/>
  <c r="AV13" i="20"/>
  <c r="AU13" i="20"/>
  <c r="M13" i="20"/>
  <c r="H13" i="20"/>
  <c r="C5" i="20"/>
  <c r="C2" i="20"/>
  <c r="C1" i="20"/>
  <c r="BG10" i="16"/>
  <c r="E10" i="16"/>
  <c r="CP19" i="19"/>
  <c r="CO19" i="19"/>
  <c r="BU19" i="19"/>
  <c r="BT19" i="19"/>
  <c r="BS19" i="19"/>
  <c r="BR19" i="19"/>
  <c r="BQ19" i="19"/>
  <c r="BP19" i="19"/>
  <c r="BO19" i="19"/>
  <c r="BN19" i="19"/>
  <c r="EN18" i="19"/>
  <c r="EM18" i="19"/>
  <c r="EL18" i="19"/>
  <c r="EK18" i="19"/>
  <c r="EK19" i="19" s="1"/>
  <c r="EJ18" i="19"/>
  <c r="EJ19" i="19" s="1"/>
  <c r="EI18" i="19"/>
  <c r="EI19" i="19" s="1"/>
  <c r="EH18" i="19"/>
  <c r="EH19" i="19" s="1"/>
  <c r="EG18" i="19"/>
  <c r="EG19" i="19" s="1"/>
  <c r="EF18" i="19"/>
  <c r="EF19" i="19" s="1"/>
  <c r="EE18" i="19"/>
  <c r="EE19" i="19" s="1"/>
  <c r="ED18" i="19"/>
  <c r="ED19" i="19" s="1"/>
  <c r="EC18" i="19"/>
  <c r="EC19" i="19" s="1"/>
  <c r="EB18" i="19"/>
  <c r="EB19" i="19" s="1"/>
  <c r="EA18" i="19"/>
  <c r="EA19" i="19" s="1"/>
  <c r="DZ18" i="19"/>
  <c r="DZ19" i="19" s="1"/>
  <c r="DY18" i="19"/>
  <c r="DY19" i="19" s="1"/>
  <c r="DX18" i="19"/>
  <c r="DX19" i="19" s="1"/>
  <c r="DW18" i="19"/>
  <c r="DW19" i="19" s="1"/>
  <c r="DV18" i="19"/>
  <c r="DV19" i="19" s="1"/>
  <c r="DU18" i="19"/>
  <c r="DU19" i="19" s="1"/>
  <c r="DT18" i="19"/>
  <c r="DT19" i="19" s="1"/>
  <c r="DS18" i="19"/>
  <c r="DS19" i="19" s="1"/>
  <c r="DR18" i="19"/>
  <c r="DR19" i="19" s="1"/>
  <c r="DQ18" i="19"/>
  <c r="DQ19" i="19" s="1"/>
  <c r="DP18" i="19"/>
  <c r="DP19" i="19" s="1"/>
  <c r="DO18" i="19"/>
  <c r="DO19" i="19" s="1"/>
  <c r="DN18" i="19"/>
  <c r="DN19" i="19" s="1"/>
  <c r="DM18" i="19"/>
  <c r="DM19" i="19" s="1"/>
  <c r="DL18" i="19"/>
  <c r="DK18" i="19"/>
  <c r="DJ18" i="19"/>
  <c r="DI18" i="19"/>
  <c r="DH18" i="19"/>
  <c r="DG18" i="19"/>
  <c r="DF18" i="19"/>
  <c r="DF19" i="19" s="1"/>
  <c r="DE18" i="19"/>
  <c r="DE19" i="19" s="1"/>
  <c r="DD18" i="19"/>
  <c r="DD19" i="19" s="1"/>
  <c r="DC18" i="19"/>
  <c r="DC19" i="19" s="1"/>
  <c r="DB18" i="19"/>
  <c r="DB19" i="19" s="1"/>
  <c r="DA18" i="19"/>
  <c r="CZ18" i="19"/>
  <c r="CY18" i="19"/>
  <c r="CW18" i="19"/>
  <c r="CV18" i="19"/>
  <c r="CL18" i="19"/>
  <c r="CK18" i="19"/>
  <c r="CJ18" i="19"/>
  <c r="CI18" i="19"/>
  <c r="CH18" i="19"/>
  <c r="CG18" i="19"/>
  <c r="CF18" i="19"/>
  <c r="CE18" i="19"/>
  <c r="CD18" i="19"/>
  <c r="CC18" i="19"/>
  <c r="CB18" i="19"/>
  <c r="CA18" i="19"/>
  <c r="BM18" i="19"/>
  <c r="BL18" i="19"/>
  <c r="BK18" i="19"/>
  <c r="BJ18" i="19"/>
  <c r="BI18" i="19"/>
  <c r="BH18" i="19"/>
  <c r="AT18" i="19"/>
  <c r="AS18" i="19"/>
  <c r="AR18" i="19"/>
  <c r="AQ18" i="19"/>
  <c r="AP18" i="19"/>
  <c r="AO18" i="19"/>
  <c r="AN18" i="19"/>
  <c r="AM18" i="19"/>
  <c r="AL18" i="19"/>
  <c r="AK18" i="19"/>
  <c r="AJ18" i="19"/>
  <c r="AI18" i="19"/>
  <c r="AH18" i="19"/>
  <c r="AG18" i="19"/>
  <c r="AF18" i="19"/>
  <c r="AE18" i="19"/>
  <c r="AD18" i="19"/>
  <c r="AC18" i="19"/>
  <c r="AB18" i="19"/>
  <c r="AA18" i="19"/>
  <c r="Z18" i="19"/>
  <c r="Y18" i="19"/>
  <c r="X18" i="19"/>
  <c r="W18" i="19"/>
  <c r="V18" i="19"/>
  <c r="U18" i="19"/>
  <c r="T18" i="19"/>
  <c r="S18" i="19"/>
  <c r="R18" i="19"/>
  <c r="Q18" i="19"/>
  <c r="P18" i="19"/>
  <c r="O18" i="19"/>
  <c r="N18" i="19"/>
  <c r="M18" i="19"/>
  <c r="L18" i="19"/>
  <c r="K18" i="19"/>
  <c r="J18" i="19"/>
  <c r="I18" i="19"/>
  <c r="AZ18" i="19"/>
  <c r="EN13" i="19"/>
  <c r="EM13" i="19"/>
  <c r="EL13" i="19"/>
  <c r="CV13" i="19"/>
  <c r="CU13" i="19"/>
  <c r="CT13" i="19"/>
  <c r="CS13" i="19"/>
  <c r="CL13" i="19"/>
  <c r="CK13" i="19"/>
  <c r="CJ13" i="19"/>
  <c r="CI13" i="19"/>
  <c r="CH13" i="19"/>
  <c r="CG13" i="19"/>
  <c r="CF13" i="19"/>
  <c r="CE13" i="19"/>
  <c r="CD13" i="19"/>
  <c r="CC13" i="19"/>
  <c r="CB13" i="19"/>
  <c r="CA13" i="19"/>
  <c r="BM13" i="19"/>
  <c r="BM19" i="19" s="1"/>
  <c r="BL13" i="19"/>
  <c r="BK13" i="19"/>
  <c r="BJ13" i="19"/>
  <c r="BI13" i="19"/>
  <c r="BH13" i="19"/>
  <c r="AT13" i="19"/>
  <c r="AS13" i="19"/>
  <c r="AR13" i="19"/>
  <c r="AQ13" i="19"/>
  <c r="AQ19" i="19" s="1"/>
  <c r="AP13" i="19"/>
  <c r="AO13" i="19"/>
  <c r="AN13" i="19"/>
  <c r="AM13" i="19"/>
  <c r="AL13" i="19"/>
  <c r="AK13" i="19"/>
  <c r="AK19" i="19" s="1"/>
  <c r="AJ13" i="19"/>
  <c r="AI13" i="19"/>
  <c r="AH13" i="19"/>
  <c r="AG13" i="19"/>
  <c r="AF13" i="19"/>
  <c r="AE13" i="19"/>
  <c r="AD13" i="19"/>
  <c r="AC13" i="19"/>
  <c r="AC19" i="19" s="1"/>
  <c r="AB13" i="19"/>
  <c r="AA13" i="19"/>
  <c r="Z13" i="19"/>
  <c r="Z19" i="19" s="1"/>
  <c r="Y13" i="19"/>
  <c r="Y19" i="19" s="1"/>
  <c r="X13" i="19"/>
  <c r="W13" i="19"/>
  <c r="V13" i="19"/>
  <c r="U13" i="19"/>
  <c r="T13" i="19"/>
  <c r="T19" i="19" s="1"/>
  <c r="S13" i="19"/>
  <c r="R13" i="19"/>
  <c r="Q13" i="19"/>
  <c r="P13" i="19"/>
  <c r="O13" i="19"/>
  <c r="N13" i="19"/>
  <c r="M13" i="19"/>
  <c r="M19" i="19" s="1"/>
  <c r="L13" i="19"/>
  <c r="K13" i="19"/>
  <c r="J13" i="19"/>
  <c r="I13" i="19"/>
  <c r="A5" i="19"/>
  <c r="B4" i="19"/>
  <c r="A4" i="19"/>
  <c r="B3" i="19"/>
  <c r="A3" i="19"/>
  <c r="B2" i="19"/>
  <c r="A2" i="19"/>
  <c r="EM13" i="8"/>
  <c r="EN13" i="8"/>
  <c r="EL13" i="8"/>
  <c r="EL18" i="8"/>
  <c r="EM18" i="8"/>
  <c r="EN18" i="8"/>
  <c r="O10" i="17"/>
  <c r="O11" i="17"/>
  <c r="O12" i="17"/>
  <c r="O9" i="17"/>
  <c r="I9" i="17"/>
  <c r="I10" i="17"/>
  <c r="I17" i="17"/>
  <c r="I25" i="17"/>
  <c r="I26" i="17"/>
  <c r="AR10" i="17"/>
  <c r="AR11" i="17"/>
  <c r="AR12" i="17"/>
  <c r="AR9" i="17"/>
  <c r="BM10" i="16"/>
  <c r="BM11" i="16"/>
  <c r="BM12" i="16"/>
  <c r="BM9" i="16"/>
  <c r="V26" i="17"/>
  <c r="V25" i="17"/>
  <c r="AR26" i="16"/>
  <c r="AR25" i="16"/>
  <c r="AH26" i="16"/>
  <c r="AI26" i="16"/>
  <c r="AH25" i="16"/>
  <c r="AI25" i="16"/>
  <c r="AD26" i="16"/>
  <c r="AD25" i="16"/>
  <c r="Y26" i="16"/>
  <c r="Y25" i="16"/>
  <c r="N26" i="16"/>
  <c r="N25" i="16"/>
  <c r="K26" i="16"/>
  <c r="K25" i="16"/>
  <c r="AX10" i="17"/>
  <c r="AX11" i="17"/>
  <c r="AX12" i="17"/>
  <c r="AX9" i="17"/>
  <c r="AF10" i="17"/>
  <c r="AF11" i="17"/>
  <c r="AF12" i="17"/>
  <c r="AF9" i="17"/>
  <c r="AR13" i="16"/>
  <c r="EK18" i="8"/>
  <c r="EK19" i="8" s="1"/>
  <c r="AR18" i="16"/>
  <c r="AI12" i="16"/>
  <c r="AI9" i="16"/>
  <c r="AH11" i="16"/>
  <c r="AH12" i="16"/>
  <c r="AH13" i="16" s="1"/>
  <c r="AH9" i="16"/>
  <c r="AH18" i="16"/>
  <c r="AI18" i="16"/>
  <c r="AA10" i="17"/>
  <c r="AF10" i="16"/>
  <c r="AA11" i="17"/>
  <c r="AA12" i="17"/>
  <c r="AF11" i="16"/>
  <c r="AF12" i="16"/>
  <c r="AA9" i="17"/>
  <c r="AF9" i="16"/>
  <c r="AD12" i="16"/>
  <c r="AD9" i="16"/>
  <c r="AD18" i="16"/>
  <c r="Z10" i="17"/>
  <c r="Z11" i="17"/>
  <c r="Z12" i="17"/>
  <c r="Z9" i="17"/>
  <c r="Y12" i="17"/>
  <c r="AB12" i="16"/>
  <c r="Y11" i="17"/>
  <c r="AB11" i="16"/>
  <c r="Y10" i="17"/>
  <c r="AB10" i="16"/>
  <c r="Y9" i="17"/>
  <c r="AB9" i="16"/>
  <c r="W11" i="17"/>
  <c r="Z11" i="16"/>
  <c r="W9" i="17"/>
  <c r="Z9" i="16"/>
  <c r="V12" i="17"/>
  <c r="V9" i="17"/>
  <c r="V18" i="17"/>
  <c r="Y12" i="16"/>
  <c r="Y9" i="16"/>
  <c r="Y18" i="16"/>
  <c r="N11" i="16"/>
  <c r="N12" i="16"/>
  <c r="N9" i="16"/>
  <c r="N18" i="16"/>
  <c r="K10" i="16"/>
  <c r="K11" i="16"/>
  <c r="K12" i="16"/>
  <c r="K9" i="16"/>
  <c r="K18" i="16"/>
  <c r="I10" i="16"/>
  <c r="I9" i="16"/>
  <c r="G11" i="17"/>
  <c r="G12" i="17"/>
  <c r="G11" i="16"/>
  <c r="G12" i="16"/>
  <c r="G10" i="17"/>
  <c r="G10" i="16"/>
  <c r="G9" i="17"/>
  <c r="G9" i="16"/>
  <c r="E10" i="17"/>
  <c r="E11" i="17"/>
  <c r="E12" i="17"/>
  <c r="E9" i="17"/>
  <c r="E11" i="16"/>
  <c r="E12" i="16"/>
  <c r="E9" i="16"/>
  <c r="G3" i="18"/>
  <c r="H11" i="11"/>
  <c r="W17" i="17"/>
  <c r="W15" i="17"/>
  <c r="Z17" i="16"/>
  <c r="Z15" i="16"/>
  <c r="C2" i="16"/>
  <c r="K16" i="17"/>
  <c r="K17" i="17"/>
  <c r="K15" i="17"/>
  <c r="J26" i="17"/>
  <c r="J25" i="17"/>
  <c r="J17" i="17"/>
  <c r="J16" i="17"/>
  <c r="J15" i="17"/>
  <c r="J10" i="17"/>
  <c r="J9" i="17"/>
  <c r="K9" i="17"/>
  <c r="K10" i="17"/>
  <c r="K11" i="17"/>
  <c r="K12" i="17"/>
  <c r="K25" i="17"/>
  <c r="K26" i="17"/>
  <c r="J26" i="16"/>
  <c r="J25" i="16"/>
  <c r="J17" i="16"/>
  <c r="J16" i="16"/>
  <c r="J15" i="16"/>
  <c r="J10" i="16"/>
  <c r="J9" i="16"/>
  <c r="AT13" i="8"/>
  <c r="AS18" i="8"/>
  <c r="AT18" i="8"/>
  <c r="AT26" i="17"/>
  <c r="AV26" i="17"/>
  <c r="AS26" i="17"/>
  <c r="Z26" i="17"/>
  <c r="Y26" i="17"/>
  <c r="Z25" i="17"/>
  <c r="Y25" i="17"/>
  <c r="AD26" i="17"/>
  <c r="AE26" i="17"/>
  <c r="AD25" i="17"/>
  <c r="AE25" i="17"/>
  <c r="AT25" i="17"/>
  <c r="AV25" i="17"/>
  <c r="AS25" i="17"/>
  <c r="AK26" i="17"/>
  <c r="AK25" i="17"/>
  <c r="AQ26" i="17"/>
  <c r="AR26" i="17"/>
  <c r="AR25" i="17"/>
  <c r="AQ25" i="17"/>
  <c r="Q26" i="17"/>
  <c r="R26" i="17"/>
  <c r="S26" i="17"/>
  <c r="L26" i="17"/>
  <c r="M26" i="17"/>
  <c r="N26" i="17"/>
  <c r="O26" i="17"/>
  <c r="H26" i="17"/>
  <c r="P26" i="17"/>
  <c r="P25" i="17"/>
  <c r="Q25" i="17"/>
  <c r="R25" i="17"/>
  <c r="S25" i="17"/>
  <c r="L25" i="17"/>
  <c r="M25" i="17"/>
  <c r="N25" i="17"/>
  <c r="O25" i="17"/>
  <c r="H25" i="17"/>
  <c r="BN26" i="16"/>
  <c r="BO26" i="16"/>
  <c r="BN25" i="16"/>
  <c r="BO25" i="16"/>
  <c r="BK26" i="16"/>
  <c r="BK25" i="16"/>
  <c r="BD26" i="16"/>
  <c r="BD25" i="16"/>
  <c r="AW26" i="16"/>
  <c r="AX26" i="16"/>
  <c r="AY26" i="16"/>
  <c r="AZ26" i="16"/>
  <c r="AW25" i="16"/>
  <c r="AX25" i="16"/>
  <c r="AY25" i="16"/>
  <c r="AZ25" i="16"/>
  <c r="AN26" i="16"/>
  <c r="AO26" i="16"/>
  <c r="AP26" i="16"/>
  <c r="AQ26" i="16"/>
  <c r="AN25" i="16"/>
  <c r="AO25" i="16"/>
  <c r="AP25" i="16"/>
  <c r="AQ25" i="16"/>
  <c r="AL25" i="16"/>
  <c r="V26" i="16"/>
  <c r="V25" i="16"/>
  <c r="H26" i="16"/>
  <c r="S26" i="16"/>
  <c r="T26" i="16"/>
  <c r="H25" i="16"/>
  <c r="S25" i="16"/>
  <c r="T25" i="16"/>
  <c r="M26" i="16"/>
  <c r="O26" i="16"/>
  <c r="P26" i="16"/>
  <c r="M25" i="16"/>
  <c r="O25" i="16"/>
  <c r="P25" i="16"/>
  <c r="AT18" i="13"/>
  <c r="AU18" i="13"/>
  <c r="AV18" i="13"/>
  <c r="AW18" i="13"/>
  <c r="AX18" i="13"/>
  <c r="AS18" i="13"/>
  <c r="C2" i="17"/>
  <c r="C1" i="17"/>
  <c r="C1" i="16"/>
  <c r="AT16" i="17"/>
  <c r="AT17" i="17"/>
  <c r="AT15" i="17"/>
  <c r="M17" i="17"/>
  <c r="L17" i="17"/>
  <c r="BO16" i="16"/>
  <c r="BO17" i="16"/>
  <c r="BO15" i="16"/>
  <c r="P17" i="16"/>
  <c r="CW18" i="8"/>
  <c r="CY18" i="8"/>
  <c r="CZ18" i="8"/>
  <c r="DA18" i="8"/>
  <c r="DB18" i="8"/>
  <c r="DB19" i="8" s="1"/>
  <c r="DC18" i="8"/>
  <c r="DC19" i="8" s="1"/>
  <c r="DD18" i="8"/>
  <c r="DD19" i="8" s="1"/>
  <c r="DE18" i="8"/>
  <c r="DE19" i="8" s="1"/>
  <c r="DF18" i="8"/>
  <c r="DF19" i="8" s="1"/>
  <c r="DG18" i="8"/>
  <c r="DH18" i="8"/>
  <c r="DI18" i="8"/>
  <c r="DJ18" i="8"/>
  <c r="DK18" i="8"/>
  <c r="DL18" i="8"/>
  <c r="DM18" i="8"/>
  <c r="DM19" i="8" s="1"/>
  <c r="DN18" i="8"/>
  <c r="DN19" i="8" s="1"/>
  <c r="DO18" i="8"/>
  <c r="DO19" i="8" s="1"/>
  <c r="DP18" i="8"/>
  <c r="DP19" i="8" s="1"/>
  <c r="DQ18" i="8"/>
  <c r="DQ19" i="8" s="1"/>
  <c r="DR18" i="8"/>
  <c r="DR19" i="8" s="1"/>
  <c r="DS18" i="8"/>
  <c r="DS19" i="8" s="1"/>
  <c r="DT18" i="8"/>
  <c r="DT19" i="8" s="1"/>
  <c r="DU18" i="8"/>
  <c r="DU19" i="8" s="1"/>
  <c r="DV18" i="8"/>
  <c r="DV19" i="8" s="1"/>
  <c r="DW18" i="8"/>
  <c r="DW19" i="8" s="1"/>
  <c r="DX18" i="8"/>
  <c r="DX19" i="8" s="1"/>
  <c r="DY18" i="8"/>
  <c r="DY19" i="8" s="1"/>
  <c r="DZ18" i="8"/>
  <c r="DZ19" i="8" s="1"/>
  <c r="EA18" i="8"/>
  <c r="EA19" i="8" s="1"/>
  <c r="EB18" i="8"/>
  <c r="EB19" i="8" s="1"/>
  <c r="EC18" i="8"/>
  <c r="EC19" i="8" s="1"/>
  <c r="ED18" i="8"/>
  <c r="ED19" i="8" s="1"/>
  <c r="EE18" i="8"/>
  <c r="EE19" i="8" s="1"/>
  <c r="EF18" i="8"/>
  <c r="EF19" i="8" s="1"/>
  <c r="EG18" i="8"/>
  <c r="EG19" i="8" s="1"/>
  <c r="EH18" i="8"/>
  <c r="EH19" i="8" s="1"/>
  <c r="EI18" i="8"/>
  <c r="EI19" i="8" s="1"/>
  <c r="EJ18" i="8"/>
  <c r="EJ19" i="8" s="1"/>
  <c r="L15" i="17"/>
  <c r="M15" i="17"/>
  <c r="P15" i="16"/>
  <c r="O17" i="16"/>
  <c r="O15" i="16"/>
  <c r="AB18" i="17"/>
  <c r="AC18" i="17"/>
  <c r="AF16" i="17"/>
  <c r="AF17" i="17"/>
  <c r="AF15" i="17"/>
  <c r="Z16" i="17"/>
  <c r="Z17" i="17"/>
  <c r="Z15" i="17"/>
  <c r="O16" i="17"/>
  <c r="AR16" i="17" s="1"/>
  <c r="O17" i="17"/>
  <c r="AR17" i="17" s="1"/>
  <c r="O15" i="17"/>
  <c r="AR15" i="17" s="1"/>
  <c r="L13" i="17"/>
  <c r="M13" i="17"/>
  <c r="G16" i="17"/>
  <c r="G17" i="17"/>
  <c r="G15" i="17"/>
  <c r="G26" i="17"/>
  <c r="G25" i="17"/>
  <c r="AX16" i="17"/>
  <c r="AX17" i="17"/>
  <c r="AX15" i="17"/>
  <c r="AT13" i="17"/>
  <c r="AW10" i="17"/>
  <c r="AW11" i="17"/>
  <c r="AW12" i="17"/>
  <c r="AW15" i="17"/>
  <c r="AW16" i="17"/>
  <c r="AW17" i="17"/>
  <c r="AW9" i="17"/>
  <c r="AV10" i="17"/>
  <c r="AV11" i="17"/>
  <c r="AV12" i="17"/>
  <c r="AV15" i="17"/>
  <c r="AV16" i="17"/>
  <c r="AV17" i="17"/>
  <c r="AV9" i="17"/>
  <c r="AS13" i="17"/>
  <c r="AS16" i="17"/>
  <c r="AS17" i="17"/>
  <c r="AS15" i="17"/>
  <c r="AP10" i="17"/>
  <c r="AP11" i="17"/>
  <c r="AP12" i="17"/>
  <c r="AP15" i="17"/>
  <c r="AP16" i="17"/>
  <c r="AP17" i="17"/>
  <c r="AP9" i="17"/>
  <c r="BJ9" i="16"/>
  <c r="AN13" i="17"/>
  <c r="AM10" i="17"/>
  <c r="AM11" i="17"/>
  <c r="AM12" i="17"/>
  <c r="AM15" i="17"/>
  <c r="AM16" i="17"/>
  <c r="AM17" i="17"/>
  <c r="AM9" i="17"/>
  <c r="AL10" i="17"/>
  <c r="AL11" i="17"/>
  <c r="AL12" i="17"/>
  <c r="AL15" i="17"/>
  <c r="AL16" i="17"/>
  <c r="AL17" i="17"/>
  <c r="AL9" i="17"/>
  <c r="AK10" i="17"/>
  <c r="AK11" i="17"/>
  <c r="AK12" i="17"/>
  <c r="AK15" i="17"/>
  <c r="AK16" i="17"/>
  <c r="AK17" i="17"/>
  <c r="AK9" i="17"/>
  <c r="AJ10" i="17"/>
  <c r="AJ11" i="17"/>
  <c r="AJ12" i="17"/>
  <c r="AJ15" i="17"/>
  <c r="AJ16" i="17"/>
  <c r="AJ17" i="17"/>
  <c r="AJ9" i="17"/>
  <c r="AI13" i="17"/>
  <c r="AI18" i="17"/>
  <c r="AH13" i="17"/>
  <c r="AH18" i="17"/>
  <c r="AG10" i="17"/>
  <c r="AG11" i="17"/>
  <c r="AG12" i="17"/>
  <c r="AG17" i="17"/>
  <c r="AG9" i="17"/>
  <c r="BN16" i="16"/>
  <c r="BN17" i="16"/>
  <c r="BN15" i="16"/>
  <c r="BN18" i="16" s="1"/>
  <c r="BN19" i="16" s="1"/>
  <c r="BU10" i="16"/>
  <c r="BU11" i="16"/>
  <c r="BU12" i="16"/>
  <c r="BU15" i="16"/>
  <c r="BU16" i="16"/>
  <c r="BU17" i="16"/>
  <c r="BU9" i="16"/>
  <c r="BT10" i="16"/>
  <c r="BT11" i="16"/>
  <c r="BT12" i="16"/>
  <c r="BT15" i="16"/>
  <c r="BT16" i="16"/>
  <c r="BT17" i="16"/>
  <c r="BQ10" i="16"/>
  <c r="BQ11" i="16"/>
  <c r="BQ12" i="16"/>
  <c r="BQ15" i="16"/>
  <c r="BQ16" i="16"/>
  <c r="BQ17" i="16"/>
  <c r="BQ9" i="16"/>
  <c r="BK10" i="16"/>
  <c r="BK11" i="16"/>
  <c r="BK12" i="16"/>
  <c r="BK18" i="16"/>
  <c r="BK9" i="16"/>
  <c r="BJ10" i="16"/>
  <c r="BJ11" i="16"/>
  <c r="BJ12" i="16"/>
  <c r="BJ15" i="16"/>
  <c r="BJ16" i="16"/>
  <c r="BJ17" i="16"/>
  <c r="C15" i="2"/>
  <c r="D15" i="2" s="1"/>
  <c r="C9" i="2"/>
  <c r="D9" i="2" s="1"/>
  <c r="BF10" i="16"/>
  <c r="BF11" i="16"/>
  <c r="BF12" i="16"/>
  <c r="BF15" i="16"/>
  <c r="BF16" i="16"/>
  <c r="BF17" i="16"/>
  <c r="BF9" i="16"/>
  <c r="BE10" i="16"/>
  <c r="BE11" i="16"/>
  <c r="BE12" i="16"/>
  <c r="BE15" i="16"/>
  <c r="BE16" i="16"/>
  <c r="BE17" i="16"/>
  <c r="BE9" i="16"/>
  <c r="BD10" i="16"/>
  <c r="BD11" i="16"/>
  <c r="BD12" i="16"/>
  <c r="BD15" i="16"/>
  <c r="BD16" i="16"/>
  <c r="BD17" i="16"/>
  <c r="BD9" i="16"/>
  <c r="BC10" i="16"/>
  <c r="BC11" i="16"/>
  <c r="BC12" i="16"/>
  <c r="BC15" i="16"/>
  <c r="BC16" i="16"/>
  <c r="BC17" i="16"/>
  <c r="BC9" i="16"/>
  <c r="BB13" i="16"/>
  <c r="BA13" i="16"/>
  <c r="BA18" i="16"/>
  <c r="AZ10" i="16"/>
  <c r="AZ11" i="16"/>
  <c r="AZ12" i="16"/>
  <c r="AZ9" i="16"/>
  <c r="AY10" i="16"/>
  <c r="AY11" i="16"/>
  <c r="AY12" i="16"/>
  <c r="AY9" i="16"/>
  <c r="AX10" i="16"/>
  <c r="AX11" i="16"/>
  <c r="AX12" i="16"/>
  <c r="AX9" i="16"/>
  <c r="AW10" i="16"/>
  <c r="AW11" i="16"/>
  <c r="AW12" i="16"/>
  <c r="AW15" i="16"/>
  <c r="AW16" i="16"/>
  <c r="AW17" i="16"/>
  <c r="AW9" i="16"/>
  <c r="AV10" i="16"/>
  <c r="AV11" i="16"/>
  <c r="AV12" i="16"/>
  <c r="AV15" i="16"/>
  <c r="AV16" i="16"/>
  <c r="AV17" i="16"/>
  <c r="AV9" i="16"/>
  <c r="AU10" i="16"/>
  <c r="AU11" i="16"/>
  <c r="AU12" i="16"/>
  <c r="AU15" i="16"/>
  <c r="AU16" i="16"/>
  <c r="AU17" i="16"/>
  <c r="AU9" i="16"/>
  <c r="AT10" i="16"/>
  <c r="AT11" i="16"/>
  <c r="AT12" i="16"/>
  <c r="AT15" i="16"/>
  <c r="AT16" i="16"/>
  <c r="AT17" i="16"/>
  <c r="AT9" i="16"/>
  <c r="AS10" i="16"/>
  <c r="AS11" i="16"/>
  <c r="AS12" i="16"/>
  <c r="AS15" i="16"/>
  <c r="AS16" i="16"/>
  <c r="AS17" i="16"/>
  <c r="AS9" i="16"/>
  <c r="AQ13" i="16"/>
  <c r="AP18" i="16"/>
  <c r="AO13" i="16"/>
  <c r="AN13" i="16"/>
  <c r="AN18" i="16"/>
  <c r="AE10" i="17"/>
  <c r="AE11" i="17"/>
  <c r="AE12" i="17"/>
  <c r="AE15" i="17"/>
  <c r="AE16" i="17"/>
  <c r="AE17" i="17"/>
  <c r="AE9" i="17"/>
  <c r="AM10" i="16"/>
  <c r="AM11" i="16"/>
  <c r="AM12" i="16"/>
  <c r="AM15" i="16"/>
  <c r="AM16" i="16"/>
  <c r="AM17" i="16"/>
  <c r="AM9" i="16"/>
  <c r="AD13" i="17"/>
  <c r="AD18" i="17"/>
  <c r="AC13" i="17"/>
  <c r="AB13" i="17"/>
  <c r="AL18" i="16"/>
  <c r="AK13" i="16"/>
  <c r="AK18" i="16"/>
  <c r="AG13" i="16"/>
  <c r="AG18" i="16"/>
  <c r="AA17" i="17"/>
  <c r="AA16" i="17"/>
  <c r="AA15" i="17"/>
  <c r="AF17" i="16"/>
  <c r="AF16" i="16"/>
  <c r="AF15" i="16"/>
  <c r="Y16" i="17"/>
  <c r="Y17" i="17"/>
  <c r="Y15" i="17"/>
  <c r="AB17" i="16"/>
  <c r="AB16" i="16"/>
  <c r="AB15" i="16"/>
  <c r="AC10" i="16"/>
  <c r="AC11" i="16"/>
  <c r="AC12" i="16"/>
  <c r="AC15" i="16"/>
  <c r="AC16" i="16"/>
  <c r="AC17" i="16"/>
  <c r="AC9" i="16"/>
  <c r="W10" i="17"/>
  <c r="W12" i="17"/>
  <c r="W16" i="17"/>
  <c r="Z10" i="16"/>
  <c r="Z12" i="16"/>
  <c r="Z16" i="16"/>
  <c r="R10" i="16"/>
  <c r="R11" i="16"/>
  <c r="R12" i="16"/>
  <c r="R15" i="16"/>
  <c r="BM15" i="16" s="1"/>
  <c r="R16" i="16"/>
  <c r="BM16" i="16" s="1"/>
  <c r="R17" i="16"/>
  <c r="BM17" i="16" s="1"/>
  <c r="R9" i="16"/>
  <c r="Q10" i="16"/>
  <c r="Q11" i="16"/>
  <c r="Q12" i="16"/>
  <c r="Q15" i="16"/>
  <c r="Q16" i="16"/>
  <c r="Q17" i="16"/>
  <c r="Q9" i="16"/>
  <c r="N10" i="17"/>
  <c r="N11" i="17"/>
  <c r="N12" i="17"/>
  <c r="N15" i="17"/>
  <c r="N16" i="17"/>
  <c r="N17" i="17"/>
  <c r="N9" i="17"/>
  <c r="O13" i="16"/>
  <c r="H13" i="16"/>
  <c r="BN13" i="16"/>
  <c r="BO13" i="16"/>
  <c r="BS13" i="16"/>
  <c r="AO18" i="16"/>
  <c r="AQ18" i="16"/>
  <c r="BB18" i="16"/>
  <c r="M15" i="16"/>
  <c r="M16" i="16"/>
  <c r="M17" i="16"/>
  <c r="M10" i="16"/>
  <c r="M11" i="16"/>
  <c r="M12" i="16"/>
  <c r="M9" i="16"/>
  <c r="E15" i="16"/>
  <c r="I17" i="16"/>
  <c r="G16" i="16"/>
  <c r="G17" i="16"/>
  <c r="G15" i="16"/>
  <c r="E16" i="17"/>
  <c r="E17" i="17"/>
  <c r="E15" i="17"/>
  <c r="E16" i="16"/>
  <c r="E17" i="16"/>
  <c r="BJ25" i="16"/>
  <c r="BJ26" i="16"/>
  <c r="BG25" i="16"/>
  <c r="BG26" i="16"/>
  <c r="BI26" i="16"/>
  <c r="BI25" i="16"/>
  <c r="F26" i="17"/>
  <c r="E25" i="17"/>
  <c r="BB12" i="13"/>
  <c r="BB11" i="13"/>
  <c r="BA12" i="13"/>
  <c r="BA11" i="13"/>
  <c r="AZ12" i="13"/>
  <c r="AZ11" i="13"/>
  <c r="AY12" i="13"/>
  <c r="AY11" i="13"/>
  <c r="BG11" i="13" s="1"/>
  <c r="BB9" i="13"/>
  <c r="BA9" i="13"/>
  <c r="BE9" i="13" s="1"/>
  <c r="AY9" i="13"/>
  <c r="BC12" i="13"/>
  <c r="BC11" i="13"/>
  <c r="BC10" i="13"/>
  <c r="BC13" i="13" s="1"/>
  <c r="BB10" i="13"/>
  <c r="BA10" i="13"/>
  <c r="AZ10" i="13"/>
  <c r="AY10" i="13"/>
  <c r="AY13" i="13" s="1"/>
  <c r="BC9" i="13"/>
  <c r="BC17" i="13"/>
  <c r="BC18" i="13" s="1"/>
  <c r="BB17" i="13"/>
  <c r="BB18" i="13" s="1"/>
  <c r="BA17" i="13"/>
  <c r="BD17" i="13" s="1"/>
  <c r="AZ17" i="13"/>
  <c r="AY17" i="13"/>
  <c r="BC16" i="13"/>
  <c r="BG16" i="13"/>
  <c r="BC15" i="13"/>
  <c r="BD15" i="13"/>
  <c r="AW13" i="13"/>
  <c r="AU13" i="13"/>
  <c r="AS13" i="13"/>
  <c r="C5" i="17"/>
  <c r="C30" i="17"/>
  <c r="B20" i="17"/>
  <c r="C19" i="17"/>
  <c r="C18" i="17"/>
  <c r="C17" i="17"/>
  <c r="A17" i="17"/>
  <c r="C16" i="17"/>
  <c r="A16" i="17"/>
  <c r="C15" i="17"/>
  <c r="A15" i="17"/>
  <c r="C14" i="17"/>
  <c r="C13" i="17"/>
  <c r="C12" i="17"/>
  <c r="A12" i="17"/>
  <c r="C11" i="17"/>
  <c r="A11" i="17"/>
  <c r="C10" i="17"/>
  <c r="A10" i="17"/>
  <c r="C9" i="17"/>
  <c r="C8" i="17"/>
  <c r="C7" i="17"/>
  <c r="C30" i="16"/>
  <c r="C5" i="16"/>
  <c r="C19" i="16"/>
  <c r="C18" i="16"/>
  <c r="C17" i="16"/>
  <c r="A17" i="16"/>
  <c r="C16" i="16"/>
  <c r="A16" i="16"/>
  <c r="C15" i="16"/>
  <c r="A15" i="16"/>
  <c r="C14" i="16"/>
  <c r="C13" i="16"/>
  <c r="C12" i="16"/>
  <c r="A12" i="16"/>
  <c r="C11" i="16"/>
  <c r="A11" i="16"/>
  <c r="C10" i="16"/>
  <c r="A10" i="16"/>
  <c r="C9" i="16"/>
  <c r="A9" i="16"/>
  <c r="C8" i="16"/>
  <c r="C7" i="16"/>
  <c r="AP26" i="17"/>
  <c r="AO26" i="17"/>
  <c r="AN26" i="17"/>
  <c r="AM26" i="17"/>
  <c r="AL26" i="17"/>
  <c r="AJ26" i="17"/>
  <c r="AI26" i="17"/>
  <c r="AH26" i="17"/>
  <c r="AG26" i="17"/>
  <c r="AF26" i="17"/>
  <c r="AC26" i="17"/>
  <c r="AB26" i="17"/>
  <c r="AA26" i="17"/>
  <c r="X26" i="17"/>
  <c r="W26" i="17"/>
  <c r="E26" i="17"/>
  <c r="AP25" i="17"/>
  <c r="AO25" i="17"/>
  <c r="AN25" i="17"/>
  <c r="AM25" i="17"/>
  <c r="AL25" i="17"/>
  <c r="AJ25" i="17"/>
  <c r="AI25" i="17"/>
  <c r="AH25" i="17"/>
  <c r="AG25" i="17"/>
  <c r="AF25" i="17"/>
  <c r="AC25" i="17"/>
  <c r="AB25" i="17"/>
  <c r="AA25" i="17"/>
  <c r="X25" i="17"/>
  <c r="W25" i="17"/>
  <c r="F25" i="17"/>
  <c r="BQ26" i="16"/>
  <c r="BM26" i="16"/>
  <c r="BL26" i="16"/>
  <c r="BH26" i="16"/>
  <c r="BF26" i="16"/>
  <c r="BE26" i="16"/>
  <c r="BC26" i="16"/>
  <c r="BB26" i="16"/>
  <c r="BA26" i="16"/>
  <c r="AV26" i="16"/>
  <c r="AU26" i="16"/>
  <c r="AT26" i="16"/>
  <c r="AS26" i="16"/>
  <c r="AM26" i="16"/>
  <c r="AK26" i="16"/>
  <c r="AG26" i="16"/>
  <c r="AF26" i="16"/>
  <c r="AC26" i="16"/>
  <c r="AB26" i="16"/>
  <c r="AA26" i="16"/>
  <c r="Z26" i="16"/>
  <c r="U26" i="16"/>
  <c r="R26" i="16"/>
  <c r="Q26" i="16"/>
  <c r="I26" i="16"/>
  <c r="G26" i="16"/>
  <c r="F26" i="16"/>
  <c r="E26" i="16"/>
  <c r="BQ25" i="16"/>
  <c r="BM25" i="16"/>
  <c r="BL25" i="16"/>
  <c r="BH25" i="16"/>
  <c r="BF25" i="16"/>
  <c r="BE25" i="16"/>
  <c r="BC25" i="16"/>
  <c r="BB25" i="16"/>
  <c r="BA25" i="16"/>
  <c r="AV25" i="16"/>
  <c r="AU25" i="16"/>
  <c r="AT25" i="16"/>
  <c r="AS25" i="16"/>
  <c r="AM25" i="16"/>
  <c r="AK25" i="16"/>
  <c r="AG25" i="16"/>
  <c r="AF25" i="16"/>
  <c r="AC25" i="16"/>
  <c r="AB25" i="16"/>
  <c r="AA25" i="16"/>
  <c r="Z25" i="16"/>
  <c r="U25" i="16"/>
  <c r="R25" i="16"/>
  <c r="Q25" i="16"/>
  <c r="I25" i="16"/>
  <c r="G25" i="16"/>
  <c r="F25" i="16"/>
  <c r="E25" i="16"/>
  <c r="BM13" i="8"/>
  <c r="BM18" i="8"/>
  <c r="BM19" i="8" s="1"/>
  <c r="J17" i="14"/>
  <c r="S17" i="11"/>
  <c r="S16" i="11"/>
  <c r="A2" i="8"/>
  <c r="Z17" i="14"/>
  <c r="Y17" i="14"/>
  <c r="X17" i="14"/>
  <c r="Z16" i="14"/>
  <c r="Y16" i="14"/>
  <c r="X16" i="14"/>
  <c r="Z15" i="14"/>
  <c r="Y15" i="14"/>
  <c r="X15" i="14"/>
  <c r="Z12" i="14"/>
  <c r="Y12" i="14"/>
  <c r="X12" i="14"/>
  <c r="Z11" i="14"/>
  <c r="Y11" i="14"/>
  <c r="X11" i="14"/>
  <c r="Z10" i="14"/>
  <c r="Y10" i="14"/>
  <c r="X10" i="14"/>
  <c r="Z9" i="14"/>
  <c r="Y9" i="14"/>
  <c r="X9" i="14"/>
  <c r="AA17" i="14"/>
  <c r="AA16" i="14"/>
  <c r="AA15" i="14"/>
  <c r="AA12" i="14"/>
  <c r="AA11" i="14"/>
  <c r="AA10" i="14"/>
  <c r="AA9" i="14"/>
  <c r="B4" i="14"/>
  <c r="AD17" i="14"/>
  <c r="AC17" i="14"/>
  <c r="AB17" i="14"/>
  <c r="AD16" i="14"/>
  <c r="AC16" i="14"/>
  <c r="AB16" i="14"/>
  <c r="AD15" i="14"/>
  <c r="AC15" i="14"/>
  <c r="AB15" i="14"/>
  <c r="AD12" i="14"/>
  <c r="AC12" i="14"/>
  <c r="AB12" i="14"/>
  <c r="AD11" i="14"/>
  <c r="AC11" i="14"/>
  <c r="AB11" i="14"/>
  <c r="AD10" i="14"/>
  <c r="AC10" i="14"/>
  <c r="AB10" i="14"/>
  <c r="AC9" i="14"/>
  <c r="AB9" i="14"/>
  <c r="K16" i="11"/>
  <c r="K17" i="11"/>
  <c r="K15" i="11"/>
  <c r="K10" i="11"/>
  <c r="F10" i="11" s="1"/>
  <c r="K11" i="11"/>
  <c r="K12" i="11"/>
  <c r="K9" i="11"/>
  <c r="A5" i="7"/>
  <c r="A5" i="6"/>
  <c r="B5" i="14"/>
  <c r="A5" i="2"/>
  <c r="S15" i="11"/>
  <c r="B10" i="3"/>
  <c r="B11" i="3"/>
  <c r="B12" i="3"/>
  <c r="B14" i="3"/>
  <c r="B15" i="3"/>
  <c r="B16" i="3"/>
  <c r="B17" i="3"/>
  <c r="CF18" i="8"/>
  <c r="N18" i="12" s="1"/>
  <c r="CE18" i="8"/>
  <c r="M18" i="12" s="1"/>
  <c r="CD18" i="8"/>
  <c r="CC18" i="8"/>
  <c r="CB18" i="8"/>
  <c r="CA18" i="8"/>
  <c r="BL18" i="8"/>
  <c r="BK18" i="8"/>
  <c r="BJ18" i="8"/>
  <c r="BI18" i="8"/>
  <c r="BH18" i="8"/>
  <c r="AR18" i="8"/>
  <c r="C18" i="3" s="1"/>
  <c r="AQ18" i="8"/>
  <c r="AP18" i="8"/>
  <c r="B18" i="3" s="1"/>
  <c r="AO18" i="8"/>
  <c r="AN18" i="8"/>
  <c r="AM18" i="8"/>
  <c r="AL18" i="8"/>
  <c r="AK18" i="8"/>
  <c r="AJ18" i="8"/>
  <c r="T18" i="12" s="1"/>
  <c r="AI18" i="8"/>
  <c r="S18" i="12" s="1"/>
  <c r="AH18" i="8"/>
  <c r="R18" i="12" s="1"/>
  <c r="AG18" i="8"/>
  <c r="Q18" i="12" s="1"/>
  <c r="AF18" i="8"/>
  <c r="AE18" i="8"/>
  <c r="AD18" i="8"/>
  <c r="AC18" i="8"/>
  <c r="AB18" i="8"/>
  <c r="AA18" i="8"/>
  <c r="Z18" i="8"/>
  <c r="Y18" i="8"/>
  <c r="X18" i="8"/>
  <c r="W18" i="8"/>
  <c r="V18" i="8"/>
  <c r="U18" i="8"/>
  <c r="T18" i="8"/>
  <c r="S18" i="8"/>
  <c r="R18" i="8"/>
  <c r="Q18" i="8"/>
  <c r="P18" i="8"/>
  <c r="O18" i="8"/>
  <c r="M18" i="8"/>
  <c r="N18" i="8"/>
  <c r="L18" i="8"/>
  <c r="E18" i="7" s="1"/>
  <c r="K18" i="8"/>
  <c r="D18" i="7" s="1"/>
  <c r="J18" i="8"/>
  <c r="C18" i="7" s="1"/>
  <c r="I18" i="8"/>
  <c r="CF13" i="8"/>
  <c r="N13" i="12" s="1"/>
  <c r="CE13" i="8"/>
  <c r="M13" i="12" s="1"/>
  <c r="CD13" i="8"/>
  <c r="CC13" i="8"/>
  <c r="CB13" i="8"/>
  <c r="CA13" i="8"/>
  <c r="BL13" i="8"/>
  <c r="BK13" i="8"/>
  <c r="BJ13" i="8"/>
  <c r="BI13" i="8"/>
  <c r="BH13" i="8"/>
  <c r="AR13" i="8"/>
  <c r="C13" i="3" s="1"/>
  <c r="AQ13" i="8"/>
  <c r="AP13" i="8"/>
  <c r="AO13" i="8"/>
  <c r="AN13" i="8"/>
  <c r="AM13" i="8"/>
  <c r="AM19" i="8" s="1"/>
  <c r="AL13" i="8"/>
  <c r="AK13" i="8"/>
  <c r="AJ13" i="8"/>
  <c r="T13" i="12" s="1"/>
  <c r="AI13" i="8"/>
  <c r="S13" i="12" s="1"/>
  <c r="AH13" i="8"/>
  <c r="R13" i="12" s="1"/>
  <c r="AG13" i="8"/>
  <c r="Q13" i="12" s="1"/>
  <c r="AF13" i="8"/>
  <c r="AE13" i="8"/>
  <c r="AD13" i="8"/>
  <c r="AC13" i="8"/>
  <c r="AB13" i="8"/>
  <c r="AA13" i="8"/>
  <c r="Z13" i="8"/>
  <c r="Y13" i="8"/>
  <c r="Y19" i="8" s="1"/>
  <c r="X13" i="8"/>
  <c r="W13" i="8"/>
  <c r="V13" i="8"/>
  <c r="U13" i="8"/>
  <c r="T13" i="8"/>
  <c r="S13" i="8"/>
  <c r="R13" i="8"/>
  <c r="Q13" i="8"/>
  <c r="P13" i="8"/>
  <c r="O13" i="8"/>
  <c r="N13" i="8"/>
  <c r="M13" i="8"/>
  <c r="F13" i="7" s="1"/>
  <c r="L13" i="8"/>
  <c r="K13" i="8"/>
  <c r="D13" i="7" s="1"/>
  <c r="J13" i="8"/>
  <c r="C13" i="7" s="1"/>
  <c r="I13" i="8"/>
  <c r="B13" i="7" s="1"/>
  <c r="CV18" i="8"/>
  <c r="CV13" i="8"/>
  <c r="CL18" i="8"/>
  <c r="CK18" i="8"/>
  <c r="CJ18" i="8"/>
  <c r="CI18" i="8"/>
  <c r="CH18" i="8"/>
  <c r="P18" i="12" s="1"/>
  <c r="CG18" i="8"/>
  <c r="O18" i="12" s="1"/>
  <c r="CU13" i="8"/>
  <c r="CT13" i="8"/>
  <c r="CS13" i="8"/>
  <c r="CL13" i="8"/>
  <c r="CK13" i="8"/>
  <c r="CJ13" i="8"/>
  <c r="BJ13" i="16" s="1"/>
  <c r="CI13" i="8"/>
  <c r="CH13" i="8"/>
  <c r="P13" i="12" s="1"/>
  <c r="CG13" i="8"/>
  <c r="O13" i="12" s="1"/>
  <c r="A18" i="3"/>
  <c r="Q15" i="14"/>
  <c r="Q11" i="14"/>
  <c r="Q9" i="14"/>
  <c r="S4" i="9"/>
  <c r="S5" i="9"/>
  <c r="S6" i="9"/>
  <c r="S3" i="9"/>
  <c r="H9" i="11"/>
  <c r="I11" i="11"/>
  <c r="I12" i="11"/>
  <c r="H12" i="11"/>
  <c r="I9" i="11"/>
  <c r="S9" i="11"/>
  <c r="S11" i="11"/>
  <c r="AA16" i="11"/>
  <c r="AA15" i="11"/>
  <c r="AA12" i="11"/>
  <c r="AA11" i="11"/>
  <c r="AA17" i="11"/>
  <c r="AA10" i="11"/>
  <c r="K25" i="11"/>
  <c r="K26" i="11"/>
  <c r="L2" i="11"/>
  <c r="F2" i="11"/>
  <c r="N2" i="11"/>
  <c r="L17" i="11"/>
  <c r="L16" i="11"/>
  <c r="L15" i="11"/>
  <c r="L12" i="11"/>
  <c r="L11" i="11"/>
  <c r="L10" i="11"/>
  <c r="L9" i="11"/>
  <c r="E25" i="11"/>
  <c r="E26" i="11"/>
  <c r="AH25" i="11"/>
  <c r="AH26" i="11"/>
  <c r="M17" i="11"/>
  <c r="AR17" i="11" s="1"/>
  <c r="M16" i="11"/>
  <c r="AR16" i="11" s="1"/>
  <c r="M15" i="11"/>
  <c r="AR15" i="11" s="1"/>
  <c r="M12" i="11"/>
  <c r="AR12" i="11" s="1"/>
  <c r="M11" i="11"/>
  <c r="AR11" i="11" s="1"/>
  <c r="M10" i="11"/>
  <c r="AR10" i="11" s="1"/>
  <c r="M9" i="11"/>
  <c r="AR9" i="11" s="1"/>
  <c r="J17" i="11"/>
  <c r="I17" i="11"/>
  <c r="J16" i="11"/>
  <c r="I16" i="11"/>
  <c r="J15" i="11"/>
  <c r="I15" i="11"/>
  <c r="J12" i="11"/>
  <c r="J11" i="11"/>
  <c r="J13" i="11" s="1"/>
  <c r="J10" i="11"/>
  <c r="I10" i="11"/>
  <c r="J9" i="11"/>
  <c r="H17" i="11"/>
  <c r="N17" i="11" s="1"/>
  <c r="H16" i="11"/>
  <c r="N16" i="11" s="1"/>
  <c r="H15" i="11"/>
  <c r="N15" i="11" s="1"/>
  <c r="H10" i="11"/>
  <c r="AF9" i="11"/>
  <c r="AF10" i="11"/>
  <c r="AF11" i="11"/>
  <c r="AF12" i="11"/>
  <c r="AF15" i="11"/>
  <c r="AF16" i="11"/>
  <c r="AF17" i="11"/>
  <c r="AF25" i="11"/>
  <c r="AF26" i="11"/>
  <c r="AB25" i="11"/>
  <c r="AC25" i="11"/>
  <c r="AD25" i="11"/>
  <c r="AB26" i="11"/>
  <c r="AC26" i="11"/>
  <c r="AD26" i="11"/>
  <c r="AD17" i="11"/>
  <c r="AD16" i="11"/>
  <c r="AD15" i="11"/>
  <c r="AD12" i="11"/>
  <c r="AD11" i="11"/>
  <c r="AD10" i="11"/>
  <c r="AD9" i="11"/>
  <c r="AB17" i="11"/>
  <c r="AC17" i="11" s="1"/>
  <c r="AB16" i="11"/>
  <c r="AB15" i="11"/>
  <c r="AB12" i="11"/>
  <c r="AB11" i="11"/>
  <c r="AB10" i="11"/>
  <c r="AB9" i="11"/>
  <c r="AA25" i="11"/>
  <c r="AA26" i="11"/>
  <c r="AA9" i="11"/>
  <c r="Z25" i="11"/>
  <c r="Z26" i="11"/>
  <c r="Z17" i="11"/>
  <c r="Z16" i="11"/>
  <c r="Z15" i="11"/>
  <c r="Z12" i="11"/>
  <c r="Z11" i="11"/>
  <c r="Z10" i="11"/>
  <c r="Z9" i="11"/>
  <c r="Y25" i="11"/>
  <c r="Y26" i="11"/>
  <c r="X25" i="11"/>
  <c r="X26" i="11"/>
  <c r="X17" i="11"/>
  <c r="X16" i="11"/>
  <c r="X15" i="11"/>
  <c r="X12" i="11"/>
  <c r="X11" i="11"/>
  <c r="X10" i="11"/>
  <c r="X9" i="11"/>
  <c r="S12" i="11"/>
  <c r="S10" i="11"/>
  <c r="U26" i="11"/>
  <c r="T26" i="11"/>
  <c r="S26" i="11"/>
  <c r="U25" i="11"/>
  <c r="T25" i="11"/>
  <c r="S25" i="11"/>
  <c r="R17" i="11"/>
  <c r="R16" i="11"/>
  <c r="R15" i="11"/>
  <c r="R18" i="11" s="1"/>
  <c r="R12" i="11"/>
  <c r="R11" i="11"/>
  <c r="R10" i="11"/>
  <c r="R9" i="11"/>
  <c r="J25" i="11"/>
  <c r="L25" i="11"/>
  <c r="M25" i="11"/>
  <c r="N25" i="11"/>
  <c r="Q25" i="11"/>
  <c r="R25" i="11"/>
  <c r="J26" i="11"/>
  <c r="L26" i="11"/>
  <c r="M26" i="11"/>
  <c r="N26" i="11"/>
  <c r="Q26" i="11"/>
  <c r="R26" i="11"/>
  <c r="I26" i="11"/>
  <c r="H26" i="11"/>
  <c r="I25" i="11"/>
  <c r="H25" i="11"/>
  <c r="AR25" i="11"/>
  <c r="AR26" i="11"/>
  <c r="AT25" i="11"/>
  <c r="AU25" i="11"/>
  <c r="AV25" i="11"/>
  <c r="AX25" i="11"/>
  <c r="AT26" i="11"/>
  <c r="AU26" i="11"/>
  <c r="AV26" i="11"/>
  <c r="AX26" i="11"/>
  <c r="AX17" i="11"/>
  <c r="AX16" i="11"/>
  <c r="AX15" i="11"/>
  <c r="AX12" i="11"/>
  <c r="AX11" i="11"/>
  <c r="AX10" i="11"/>
  <c r="AX9" i="11"/>
  <c r="AV17" i="11"/>
  <c r="AV16" i="11"/>
  <c r="AV15" i="11"/>
  <c r="AV12" i="11"/>
  <c r="AV11" i="11"/>
  <c r="AV10" i="11"/>
  <c r="AV9" i="11"/>
  <c r="AT9" i="11"/>
  <c r="AT10" i="11"/>
  <c r="AP10" i="11" s="1"/>
  <c r="AT11" i="11"/>
  <c r="AT12" i="11"/>
  <c r="AT15" i="11"/>
  <c r="AT16" i="11"/>
  <c r="AT17" i="11"/>
  <c r="AU9" i="11"/>
  <c r="AP9" i="11" s="1"/>
  <c r="AU10" i="11"/>
  <c r="AU11" i="11"/>
  <c r="AU12" i="11"/>
  <c r="AU15" i="11"/>
  <c r="AU16" i="11"/>
  <c r="AU17" i="11"/>
  <c r="W9" i="11"/>
  <c r="Y9" i="11" s="1"/>
  <c r="W10" i="11"/>
  <c r="W11" i="11"/>
  <c r="W12" i="11"/>
  <c r="W15" i="11"/>
  <c r="Y15" i="11" s="1"/>
  <c r="W16" i="11"/>
  <c r="W17" i="11"/>
  <c r="Y17" i="11" s="1"/>
  <c r="I15" i="2"/>
  <c r="I16" i="2"/>
  <c r="I17" i="2"/>
  <c r="G15" i="2"/>
  <c r="G16" i="2"/>
  <c r="G17" i="2"/>
  <c r="E15" i="2"/>
  <c r="E16" i="2"/>
  <c r="E17" i="2"/>
  <c r="C16" i="2"/>
  <c r="D16" i="2" s="1"/>
  <c r="C17" i="2"/>
  <c r="D17" i="2" s="1"/>
  <c r="I9" i="2"/>
  <c r="I10" i="2"/>
  <c r="I11" i="2"/>
  <c r="I12" i="2"/>
  <c r="C10" i="2"/>
  <c r="D10" i="2" s="1"/>
  <c r="C11" i="2"/>
  <c r="D11" i="2" s="1"/>
  <c r="C12" i="2"/>
  <c r="D12" i="2" s="1"/>
  <c r="G9" i="2"/>
  <c r="B9" i="6" s="1"/>
  <c r="G10" i="2"/>
  <c r="G11" i="2"/>
  <c r="C11" i="6" s="1"/>
  <c r="G12" i="2"/>
  <c r="E9" i="2"/>
  <c r="E10" i="2"/>
  <c r="E11" i="2"/>
  <c r="E12" i="2"/>
  <c r="B12" i="6" s="1"/>
  <c r="AH15" i="11"/>
  <c r="AH16" i="11"/>
  <c r="AH17" i="11"/>
  <c r="AH9" i="11"/>
  <c r="AH10" i="11"/>
  <c r="AH11" i="11"/>
  <c r="AH12" i="11"/>
  <c r="E17" i="11"/>
  <c r="E16" i="11"/>
  <c r="E15" i="11"/>
  <c r="E12" i="11"/>
  <c r="E11" i="11"/>
  <c r="E10" i="11"/>
  <c r="E9" i="11"/>
  <c r="W17" i="14"/>
  <c r="W16" i="14"/>
  <c r="W15" i="14"/>
  <c r="W12" i="14"/>
  <c r="W11" i="14"/>
  <c r="W10" i="14"/>
  <c r="W9" i="14"/>
  <c r="M17" i="14"/>
  <c r="M16" i="14"/>
  <c r="M15" i="14"/>
  <c r="M12" i="14"/>
  <c r="M11" i="14"/>
  <c r="M10" i="14"/>
  <c r="M9" i="14"/>
  <c r="N17" i="14"/>
  <c r="N16" i="14"/>
  <c r="N15" i="14"/>
  <c r="N10" i="14"/>
  <c r="N11" i="14"/>
  <c r="N12" i="14"/>
  <c r="N9" i="14"/>
  <c r="P17" i="14"/>
  <c r="P16" i="14"/>
  <c r="P15" i="14"/>
  <c r="P12" i="14"/>
  <c r="P11" i="14"/>
  <c r="P10" i="14"/>
  <c r="P9" i="14"/>
  <c r="O17" i="14"/>
  <c r="O16" i="14"/>
  <c r="O15" i="14"/>
  <c r="O12" i="14"/>
  <c r="O11" i="14"/>
  <c r="O10" i="14"/>
  <c r="O9" i="14"/>
  <c r="O19" i="8"/>
  <c r="AZ9" i="8"/>
  <c r="BB16" i="8"/>
  <c r="BA16" i="8"/>
  <c r="AZ16" i="8"/>
  <c r="AY16" i="8"/>
  <c r="BB15" i="8"/>
  <c r="BA15" i="8"/>
  <c r="BF15" i="8" s="1"/>
  <c r="AZ15" i="8"/>
  <c r="AY15" i="8"/>
  <c r="BG15" i="8" s="1"/>
  <c r="BB12" i="8"/>
  <c r="BA12" i="8"/>
  <c r="AZ12" i="8"/>
  <c r="AY12" i="8"/>
  <c r="BB11" i="8"/>
  <c r="BA11" i="8"/>
  <c r="AZ11" i="8"/>
  <c r="AY11" i="8"/>
  <c r="BB9" i="8"/>
  <c r="BA9" i="8"/>
  <c r="AY9" i="8"/>
  <c r="C5" i="11"/>
  <c r="C5" i="12"/>
  <c r="C7" i="11"/>
  <c r="AS17" i="11"/>
  <c r="AS16" i="11"/>
  <c r="AS15" i="11"/>
  <c r="AS12" i="11"/>
  <c r="AS11" i="11"/>
  <c r="AS10" i="11"/>
  <c r="AS9" i="11"/>
  <c r="AS26" i="11"/>
  <c r="AS25" i="11"/>
  <c r="A17" i="14"/>
  <c r="A16" i="14"/>
  <c r="A15" i="14"/>
  <c r="A12" i="14"/>
  <c r="A11" i="14"/>
  <c r="A10" i="14"/>
  <c r="A9" i="14"/>
  <c r="C19" i="12"/>
  <c r="C18" i="12"/>
  <c r="C17" i="12"/>
  <c r="C16" i="12"/>
  <c r="C15" i="12"/>
  <c r="C14" i="12"/>
  <c r="C13" i="12"/>
  <c r="C12" i="12"/>
  <c r="C11" i="12"/>
  <c r="C10" i="12"/>
  <c r="C9" i="12"/>
  <c r="C8" i="12"/>
  <c r="G12" i="14"/>
  <c r="G11" i="14"/>
  <c r="G10" i="14"/>
  <c r="G9" i="14"/>
  <c r="G17" i="14"/>
  <c r="G16" i="14"/>
  <c r="G15" i="14"/>
  <c r="B18" i="14"/>
  <c r="B13" i="14"/>
  <c r="D9" i="14"/>
  <c r="D10" i="14"/>
  <c r="D11" i="14"/>
  <c r="D12" i="14"/>
  <c r="D15" i="14"/>
  <c r="D16" i="14"/>
  <c r="D17" i="14"/>
  <c r="F15" i="14"/>
  <c r="F16" i="14"/>
  <c r="F17" i="14"/>
  <c r="E15" i="14"/>
  <c r="E16" i="14"/>
  <c r="E17" i="14"/>
  <c r="H15" i="14"/>
  <c r="H16" i="14"/>
  <c r="H17" i="14"/>
  <c r="F9" i="14"/>
  <c r="F10" i="14"/>
  <c r="F11" i="14"/>
  <c r="F12" i="14"/>
  <c r="E9" i="14"/>
  <c r="E10" i="14"/>
  <c r="E11" i="14"/>
  <c r="E12" i="14"/>
  <c r="H11" i="14"/>
  <c r="H9" i="14"/>
  <c r="H10" i="14"/>
  <c r="H12" i="14"/>
  <c r="B17" i="14"/>
  <c r="B16" i="14"/>
  <c r="B15" i="14"/>
  <c r="A14" i="14"/>
  <c r="B12" i="14"/>
  <c r="B11" i="14"/>
  <c r="B10" i="14"/>
  <c r="B9" i="14"/>
  <c r="Q16" i="14"/>
  <c r="Q17" i="14"/>
  <c r="Q12" i="14"/>
  <c r="Q10" i="14"/>
  <c r="A2" i="13"/>
  <c r="B2" i="13"/>
  <c r="A3" i="13"/>
  <c r="B3" i="13"/>
  <c r="A4" i="13"/>
  <c r="B4" i="13"/>
  <c r="A5" i="13"/>
  <c r="I13" i="13"/>
  <c r="J13" i="13"/>
  <c r="K13" i="13"/>
  <c r="L13" i="13"/>
  <c r="M13" i="13"/>
  <c r="N13" i="13"/>
  <c r="P13" i="13"/>
  <c r="Q13" i="13"/>
  <c r="R13" i="13"/>
  <c r="S13" i="13"/>
  <c r="T13" i="13"/>
  <c r="U13" i="13"/>
  <c r="V13" i="13"/>
  <c r="W13" i="13"/>
  <c r="X13" i="13"/>
  <c r="Y13" i="13"/>
  <c r="Z13" i="13"/>
  <c r="AA13" i="13"/>
  <c r="AB13" i="13"/>
  <c r="AC13" i="13"/>
  <c r="AD13" i="13"/>
  <c r="AE13" i="13"/>
  <c r="AE19" i="13" s="1"/>
  <c r="AF13" i="13"/>
  <c r="AG13" i="13"/>
  <c r="AH13" i="13"/>
  <c r="AI13" i="13"/>
  <c r="AJ13" i="13"/>
  <c r="AK13" i="13"/>
  <c r="AL13" i="13"/>
  <c r="AM13" i="13"/>
  <c r="AN13" i="13"/>
  <c r="AO13" i="13"/>
  <c r="AO19" i="13" s="1"/>
  <c r="AP13" i="13"/>
  <c r="AQ13" i="13"/>
  <c r="AR13" i="13"/>
  <c r="BH13" i="13"/>
  <c r="BI13" i="13"/>
  <c r="BK13" i="13"/>
  <c r="CI13" i="13"/>
  <c r="CJ13" i="13"/>
  <c r="I18" i="13"/>
  <c r="J18" i="13"/>
  <c r="K18" i="13"/>
  <c r="L18" i="13"/>
  <c r="M18" i="13"/>
  <c r="N18" i="13"/>
  <c r="P18" i="13"/>
  <c r="Q18" i="13"/>
  <c r="R18" i="13"/>
  <c r="S18" i="13"/>
  <c r="T18" i="13"/>
  <c r="U18" i="13"/>
  <c r="V18" i="13"/>
  <c r="W18" i="13"/>
  <c r="X18" i="13"/>
  <c r="Y18" i="13"/>
  <c r="Z18" i="13"/>
  <c r="AA18" i="13"/>
  <c r="AB18" i="13"/>
  <c r="AC18" i="13"/>
  <c r="AD18" i="13"/>
  <c r="AE18" i="13"/>
  <c r="AF18" i="13"/>
  <c r="AG18" i="13"/>
  <c r="AH18" i="13"/>
  <c r="AI18" i="13"/>
  <c r="AJ18" i="13"/>
  <c r="AK18" i="13"/>
  <c r="AL18" i="13"/>
  <c r="AM18" i="13"/>
  <c r="AN18" i="13"/>
  <c r="AO18" i="13"/>
  <c r="AP18" i="13"/>
  <c r="AQ18" i="13"/>
  <c r="AR18" i="13"/>
  <c r="BH18" i="13"/>
  <c r="BI18" i="13"/>
  <c r="BK18" i="13"/>
  <c r="BM18" i="13"/>
  <c r="BM19" i="13"/>
  <c r="B2" i="8"/>
  <c r="A3" i="8"/>
  <c r="B3" i="8"/>
  <c r="A4" i="8"/>
  <c r="B4" i="8"/>
  <c r="A5" i="8"/>
  <c r="BC9" i="8"/>
  <c r="AY10" i="8"/>
  <c r="AZ10" i="8"/>
  <c r="BA10" i="8"/>
  <c r="BB10" i="8"/>
  <c r="BC10" i="8"/>
  <c r="BC11" i="8"/>
  <c r="BC12" i="8"/>
  <c r="BF12" i="8" s="1"/>
  <c r="BC15" i="8"/>
  <c r="BC16" i="8"/>
  <c r="BF16" i="8" s="1"/>
  <c r="AY17" i="8"/>
  <c r="AY18" i="8" s="1"/>
  <c r="AZ17" i="8"/>
  <c r="BA17" i="8"/>
  <c r="BB17" i="8"/>
  <c r="BC17" i="8"/>
  <c r="B7" i="14"/>
  <c r="A8" i="14"/>
  <c r="I9" i="14"/>
  <c r="J9" i="14"/>
  <c r="J10" i="14"/>
  <c r="J11" i="14"/>
  <c r="J12" i="14"/>
  <c r="I10" i="14"/>
  <c r="I11" i="14"/>
  <c r="I12" i="14"/>
  <c r="I15" i="14"/>
  <c r="J15" i="14"/>
  <c r="I16" i="14"/>
  <c r="J16" i="14"/>
  <c r="I17" i="14"/>
  <c r="B19" i="14"/>
  <c r="B22" i="14"/>
  <c r="D2" i="12"/>
  <c r="D3" i="12"/>
  <c r="D4" i="12"/>
  <c r="C7" i="12"/>
  <c r="H9" i="12"/>
  <c r="M9" i="12"/>
  <c r="N9" i="12"/>
  <c r="R9" i="12"/>
  <c r="O9" i="12"/>
  <c r="P9" i="12"/>
  <c r="Q9" i="12"/>
  <c r="S9" i="12"/>
  <c r="T9" i="12"/>
  <c r="D10" i="12"/>
  <c r="E10" i="12"/>
  <c r="F10" i="12"/>
  <c r="G10" i="12"/>
  <c r="H10" i="12"/>
  <c r="H11" i="12"/>
  <c r="M11" i="12"/>
  <c r="N11" i="12"/>
  <c r="O11" i="12"/>
  <c r="P11" i="12"/>
  <c r="Q11" i="12"/>
  <c r="R11" i="12"/>
  <c r="S11" i="12"/>
  <c r="T11" i="12"/>
  <c r="H12" i="12"/>
  <c r="M12" i="12"/>
  <c r="G12" i="11"/>
  <c r="Q12" i="12"/>
  <c r="N12" i="12"/>
  <c r="R12" i="12"/>
  <c r="O12" i="12"/>
  <c r="P12" i="12"/>
  <c r="S12" i="12"/>
  <c r="T12" i="12"/>
  <c r="D15" i="12"/>
  <c r="E15" i="12"/>
  <c r="F15" i="12"/>
  <c r="G15" i="12"/>
  <c r="H15" i="12"/>
  <c r="D16" i="12"/>
  <c r="E16" i="12"/>
  <c r="F16" i="12"/>
  <c r="G16" i="12"/>
  <c r="H16" i="12"/>
  <c r="D17" i="12"/>
  <c r="E17" i="12"/>
  <c r="F17" i="12"/>
  <c r="G17" i="12"/>
  <c r="H17" i="12"/>
  <c r="D25" i="12"/>
  <c r="E25" i="12"/>
  <c r="F25" i="12"/>
  <c r="G25" i="12"/>
  <c r="H25" i="12"/>
  <c r="I25" i="12"/>
  <c r="J25" i="12"/>
  <c r="K25" i="12"/>
  <c r="D26" i="12"/>
  <c r="E26" i="12"/>
  <c r="F26" i="12"/>
  <c r="G26" i="12"/>
  <c r="H26" i="12"/>
  <c r="I26" i="12"/>
  <c r="J26" i="12"/>
  <c r="K26" i="12"/>
  <c r="C30" i="12"/>
  <c r="C8" i="11"/>
  <c r="A9" i="11"/>
  <c r="C9" i="11"/>
  <c r="G9" i="11"/>
  <c r="AG9" i="11"/>
  <c r="AI9" i="11"/>
  <c r="AE9" i="11"/>
  <c r="AJ9" i="11"/>
  <c r="AK9" i="11"/>
  <c r="A10" i="11"/>
  <c r="C10" i="11"/>
  <c r="G10" i="11"/>
  <c r="AG10" i="11"/>
  <c r="AI10" i="11"/>
  <c r="AE10" i="11"/>
  <c r="AJ10" i="11"/>
  <c r="AK10" i="11"/>
  <c r="A11" i="11"/>
  <c r="C11" i="11"/>
  <c r="G11" i="11"/>
  <c r="AG11" i="11"/>
  <c r="AI11" i="11"/>
  <c r="AE11" i="11"/>
  <c r="AJ11" i="11"/>
  <c r="AK11" i="11"/>
  <c r="A12" i="11"/>
  <c r="C12" i="11"/>
  <c r="AG12" i="11"/>
  <c r="AI12" i="11"/>
  <c r="AE12" i="11"/>
  <c r="AJ12" i="11"/>
  <c r="AK12" i="11"/>
  <c r="C13" i="11"/>
  <c r="C14" i="11"/>
  <c r="A15" i="11"/>
  <c r="C15" i="11"/>
  <c r="G15" i="11"/>
  <c r="AG15" i="11"/>
  <c r="AI15" i="11"/>
  <c r="AE15" i="11"/>
  <c r="AJ15" i="11"/>
  <c r="AK15" i="11"/>
  <c r="A16" i="11"/>
  <c r="C16" i="11"/>
  <c r="G16" i="11"/>
  <c r="AG16" i="11"/>
  <c r="AI16" i="11"/>
  <c r="AE16" i="11"/>
  <c r="AJ16" i="11"/>
  <c r="AK16" i="11"/>
  <c r="A17" i="11"/>
  <c r="C17" i="11"/>
  <c r="G17" i="11"/>
  <c r="AG17" i="11"/>
  <c r="AI17" i="11"/>
  <c r="AE17" i="11"/>
  <c r="AJ17" i="11"/>
  <c r="AK17" i="11"/>
  <c r="C18" i="11"/>
  <c r="C19" i="11"/>
  <c r="F25" i="11"/>
  <c r="G25" i="11"/>
  <c r="W25" i="11"/>
  <c r="AG25" i="11"/>
  <c r="AI25" i="11"/>
  <c r="AE25" i="11"/>
  <c r="AJ25" i="11"/>
  <c r="AK25" i="11"/>
  <c r="AL25" i="11"/>
  <c r="AM25" i="11"/>
  <c r="AN25" i="11"/>
  <c r="AO25" i="11"/>
  <c r="AP25" i="11"/>
  <c r="AQ25" i="11"/>
  <c r="F26" i="11"/>
  <c r="G26" i="11"/>
  <c r="W26" i="11"/>
  <c r="AG26" i="11"/>
  <c r="AI26" i="11"/>
  <c r="AE26" i="11"/>
  <c r="AJ26" i="11"/>
  <c r="AK26" i="11"/>
  <c r="AL26" i="11"/>
  <c r="AM26" i="11"/>
  <c r="AN26" i="11"/>
  <c r="AO26" i="11"/>
  <c r="AP26" i="11"/>
  <c r="AQ26" i="11"/>
  <c r="C30" i="11"/>
  <c r="B2" i="7"/>
  <c r="B3" i="7"/>
  <c r="B4" i="7"/>
  <c r="A7" i="7"/>
  <c r="A8" i="7"/>
  <c r="A9" i="7"/>
  <c r="B9" i="7"/>
  <c r="C9" i="7"/>
  <c r="D9" i="7"/>
  <c r="E9" i="7"/>
  <c r="F9" i="7"/>
  <c r="G9" i="7"/>
  <c r="A10" i="7"/>
  <c r="B10" i="7"/>
  <c r="C10" i="7"/>
  <c r="D10" i="7"/>
  <c r="E10" i="7"/>
  <c r="F10" i="7"/>
  <c r="G10" i="7"/>
  <c r="A11" i="7"/>
  <c r="B11" i="7"/>
  <c r="C11" i="7"/>
  <c r="D11" i="7"/>
  <c r="E11" i="7"/>
  <c r="F11" i="7"/>
  <c r="G11" i="7"/>
  <c r="A12" i="7"/>
  <c r="B12" i="7"/>
  <c r="C12" i="7"/>
  <c r="D12" i="7"/>
  <c r="E12" i="7"/>
  <c r="F12" i="7"/>
  <c r="G12" i="7"/>
  <c r="A13" i="7"/>
  <c r="A14" i="7"/>
  <c r="A15" i="7"/>
  <c r="B15" i="7"/>
  <c r="C15" i="7"/>
  <c r="D15" i="7"/>
  <c r="E15" i="7"/>
  <c r="F15" i="7"/>
  <c r="G15" i="7"/>
  <c r="A16" i="7"/>
  <c r="B16" i="7"/>
  <c r="C16" i="7"/>
  <c r="D16" i="7"/>
  <c r="E16" i="7"/>
  <c r="F16" i="7"/>
  <c r="G16" i="7"/>
  <c r="A17" i="7"/>
  <c r="B17" i="7"/>
  <c r="C17" i="7"/>
  <c r="D17" i="7"/>
  <c r="E17" i="7"/>
  <c r="F17" i="7"/>
  <c r="G17" i="7"/>
  <c r="A18" i="7"/>
  <c r="A19" i="7"/>
  <c r="A23" i="7"/>
  <c r="B2" i="6"/>
  <c r="B3" i="6"/>
  <c r="B4" i="6"/>
  <c r="A7" i="6"/>
  <c r="A8" i="6"/>
  <c r="A9" i="6"/>
  <c r="A10" i="6"/>
  <c r="A11" i="6"/>
  <c r="A12" i="6"/>
  <c r="A13" i="6"/>
  <c r="A14" i="6"/>
  <c r="A15" i="6"/>
  <c r="A16" i="6"/>
  <c r="A17" i="6"/>
  <c r="A18" i="6"/>
  <c r="A19" i="6"/>
  <c r="A23" i="6"/>
  <c r="B2" i="5"/>
  <c r="B3" i="5"/>
  <c r="B4" i="5"/>
  <c r="A5" i="5"/>
  <c r="A7" i="5"/>
  <c r="A8" i="5"/>
  <c r="A9" i="5"/>
  <c r="B9" i="5"/>
  <c r="C9" i="5"/>
  <c r="D9" i="5"/>
  <c r="A10" i="5"/>
  <c r="B10" i="5"/>
  <c r="C10" i="5"/>
  <c r="D10" i="5"/>
  <c r="A11" i="5"/>
  <c r="B11" i="5"/>
  <c r="C11" i="5"/>
  <c r="D11" i="5"/>
  <c r="A12" i="5"/>
  <c r="B12" i="5"/>
  <c r="C12" i="5"/>
  <c r="D12" i="5"/>
  <c r="A13" i="5"/>
  <c r="A14" i="5"/>
  <c r="A15" i="5"/>
  <c r="B15" i="5"/>
  <c r="B16" i="5"/>
  <c r="B17" i="5"/>
  <c r="C15" i="5"/>
  <c r="D15" i="5"/>
  <c r="A16" i="5"/>
  <c r="C16" i="5"/>
  <c r="C17" i="5"/>
  <c r="D16" i="5"/>
  <c r="A17" i="5"/>
  <c r="D17" i="5"/>
  <c r="A18" i="5"/>
  <c r="A19" i="5"/>
  <c r="A22" i="5"/>
  <c r="B2" i="3"/>
  <c r="B3" i="3"/>
  <c r="B4" i="3"/>
  <c r="A5" i="3"/>
  <c r="A7" i="3"/>
  <c r="A8" i="3"/>
  <c r="A9" i="3"/>
  <c r="B9" i="3"/>
  <c r="C9" i="3"/>
  <c r="D9" i="3"/>
  <c r="F9" i="3"/>
  <c r="H9" i="3"/>
  <c r="A10" i="3"/>
  <c r="C10" i="3"/>
  <c r="D10" i="3"/>
  <c r="F10" i="3"/>
  <c r="G10" i="3" s="1"/>
  <c r="H10" i="3"/>
  <c r="A11" i="3"/>
  <c r="C11" i="3"/>
  <c r="D11" i="3"/>
  <c r="F11" i="3"/>
  <c r="H11" i="3"/>
  <c r="A12" i="3"/>
  <c r="C12" i="3"/>
  <c r="D12" i="3"/>
  <c r="F12" i="3"/>
  <c r="G12" i="3" s="1"/>
  <c r="H12" i="3"/>
  <c r="A13" i="3"/>
  <c r="A14" i="3"/>
  <c r="A15" i="3"/>
  <c r="C15" i="3"/>
  <c r="D15" i="3"/>
  <c r="F15" i="3"/>
  <c r="H15" i="3"/>
  <c r="A16" i="3"/>
  <c r="C16" i="3"/>
  <c r="D16" i="3"/>
  <c r="F16" i="3"/>
  <c r="G16" i="3" s="1"/>
  <c r="H16" i="3"/>
  <c r="A17" i="3"/>
  <c r="C17" i="3"/>
  <c r="D17" i="3"/>
  <c r="BI17" i="16" s="1"/>
  <c r="F17" i="3"/>
  <c r="H17" i="3"/>
  <c r="A19" i="3"/>
  <c r="A22" i="3"/>
  <c r="B2" i="10"/>
  <c r="B3" i="10"/>
  <c r="B4" i="10"/>
  <c r="A5" i="10"/>
  <c r="A8" i="10"/>
  <c r="A9" i="10"/>
  <c r="B9" i="10"/>
  <c r="C9" i="10"/>
  <c r="D9" i="10"/>
  <c r="E9" i="10"/>
  <c r="F9" i="10" s="1"/>
  <c r="H9" i="10"/>
  <c r="A10" i="10"/>
  <c r="B10" i="10"/>
  <c r="C10" i="10"/>
  <c r="D10" i="10"/>
  <c r="E10" i="10"/>
  <c r="H10" i="10"/>
  <c r="A11" i="10"/>
  <c r="B11" i="10"/>
  <c r="C11" i="10"/>
  <c r="D11" i="10"/>
  <c r="E11" i="10"/>
  <c r="F11" i="10" s="1"/>
  <c r="H11" i="10"/>
  <c r="A12" i="10"/>
  <c r="B12" i="10"/>
  <c r="C12" i="10"/>
  <c r="D12" i="10"/>
  <c r="E12" i="10"/>
  <c r="F12" i="10" s="1"/>
  <c r="H12" i="10"/>
  <c r="A14" i="10"/>
  <c r="A15" i="10"/>
  <c r="B15" i="10"/>
  <c r="C15" i="10"/>
  <c r="D15" i="10"/>
  <c r="E15" i="10"/>
  <c r="F15" i="10" s="1"/>
  <c r="H15" i="10"/>
  <c r="A16" i="10"/>
  <c r="B16" i="10"/>
  <c r="C16" i="10"/>
  <c r="D16" i="10"/>
  <c r="I16" i="10" s="1"/>
  <c r="K16" i="10" s="1"/>
  <c r="E16" i="10"/>
  <c r="F16" i="10" s="1"/>
  <c r="H16" i="10"/>
  <c r="A17" i="10"/>
  <c r="B17" i="10"/>
  <c r="C17" i="10"/>
  <c r="D17" i="10"/>
  <c r="I17" i="10" s="1"/>
  <c r="K17" i="10" s="1"/>
  <c r="E17" i="10"/>
  <c r="F17" i="10" s="1"/>
  <c r="H17" i="10"/>
  <c r="A23" i="10"/>
  <c r="B2" i="2"/>
  <c r="B3" i="2"/>
  <c r="B4" i="2"/>
  <c r="A8" i="2"/>
  <c r="A9" i="2"/>
  <c r="B9" i="2"/>
  <c r="A10" i="2"/>
  <c r="B10" i="2"/>
  <c r="A11" i="2"/>
  <c r="B11" i="2"/>
  <c r="A12" i="2"/>
  <c r="B12" i="2"/>
  <c r="A13" i="2"/>
  <c r="A14" i="2"/>
  <c r="A15" i="2"/>
  <c r="B15" i="2"/>
  <c r="H15" i="2" s="1"/>
  <c r="A16" i="2"/>
  <c r="B16" i="2"/>
  <c r="A17" i="2"/>
  <c r="B17" i="2"/>
  <c r="A18" i="2"/>
  <c r="A19" i="2"/>
  <c r="A20" i="2"/>
  <c r="A21" i="2"/>
  <c r="A23" i="2"/>
  <c r="O25" i="11"/>
  <c r="O26" i="11"/>
  <c r="BD9" i="13"/>
  <c r="AN18" i="17"/>
  <c r="AS13" i="8"/>
  <c r="AZ13" i="19"/>
  <c r="BB13" i="19"/>
  <c r="BA18" i="19"/>
  <c r="AY13" i="19"/>
  <c r="BC13" i="19"/>
  <c r="AY18" i="19"/>
  <c r="BC18" i="19"/>
  <c r="U19" i="19"/>
  <c r="AO19" i="19"/>
  <c r="N19" i="19"/>
  <c r="AT19" i="19"/>
  <c r="I19" i="19"/>
  <c r="BA13" i="19"/>
  <c r="CK19" i="19"/>
  <c r="BB18" i="19"/>
  <c r="AS18" i="21"/>
  <c r="R18" i="21"/>
  <c r="AI18" i="21"/>
  <c r="AH18" i="21"/>
  <c r="J18" i="21"/>
  <c r="AG18" i="21"/>
  <c r="N18" i="21"/>
  <c r="AN18" i="21"/>
  <c r="L18" i="21"/>
  <c r="Q18" i="21"/>
  <c r="AY18" i="21"/>
  <c r="AE18" i="21"/>
  <c r="AJ18" i="21"/>
  <c r="AK18" i="21"/>
  <c r="H18" i="21"/>
  <c r="Z18" i="21"/>
  <c r="AM18" i="21"/>
  <c r="M18" i="21"/>
  <c r="AD18" i="21"/>
  <c r="AF18" i="21"/>
  <c r="K18" i="21"/>
  <c r="E18" i="21"/>
  <c r="AO18" i="21"/>
  <c r="AR18" i="21"/>
  <c r="G18" i="21"/>
  <c r="AB18" i="21"/>
  <c r="P18" i="21"/>
  <c r="AL18" i="21"/>
  <c r="F18" i="21"/>
  <c r="AC18" i="21"/>
  <c r="J13" i="20"/>
  <c r="E13" i="20"/>
  <c r="Q13" i="20"/>
  <c r="G13" i="20"/>
  <c r="S13" i="20"/>
  <c r="K13" i="20"/>
  <c r="AT13" i="20"/>
  <c r="AA13" i="20"/>
  <c r="R13" i="20"/>
  <c r="F13" i="20"/>
  <c r="CO19" i="8"/>
  <c r="V18" i="21"/>
  <c r="T18" i="21"/>
  <c r="BE12" i="13"/>
  <c r="BD12" i="13"/>
  <c r="BG12" i="13"/>
  <c r="AZ13" i="13"/>
  <c r="AP13" i="17"/>
  <c r="BD17" i="8"/>
  <c r="BF17" i="8"/>
  <c r="AB19" i="19"/>
  <c r="BF9" i="13"/>
  <c r="E18" i="12"/>
  <c r="ER19" i="8"/>
  <c r="EL19" i="8"/>
  <c r="AC11" i="11"/>
  <c r="EQ19" i="8"/>
  <c r="AP12" i="11"/>
  <c r="Y11" i="11"/>
  <c r="AT18" i="17"/>
  <c r="B16" i="6"/>
  <c r="AL10" i="11"/>
  <c r="N10" i="11"/>
  <c r="N9" i="11"/>
  <c r="F10" i="10"/>
  <c r="N11" i="11"/>
  <c r="ES19" i="8"/>
  <c r="S19" i="13"/>
  <c r="AG19" i="19"/>
  <c r="F9" i="11"/>
  <c r="CI19" i="8"/>
  <c r="AE19" i="8"/>
  <c r="F17" i="16"/>
  <c r="BL17" i="16" s="1"/>
  <c r="EP19" i="8"/>
  <c r="ER19" i="13"/>
  <c r="AL13" i="16"/>
  <c r="S13" i="16"/>
  <c r="H18" i="16"/>
  <c r="P13" i="16"/>
  <c r="AN13" i="20"/>
  <c r="F17" i="17"/>
  <c r="AQ17" i="17" s="1"/>
  <c r="AO17" i="11"/>
  <c r="M13" i="2"/>
  <c r="AL11" i="11"/>
  <c r="AO12" i="11"/>
  <c r="AC10" i="11"/>
  <c r="H13" i="12"/>
  <c r="T19" i="8"/>
  <c r="AJ19" i="8"/>
  <c r="S19" i="8"/>
  <c r="AZ18" i="13"/>
  <c r="AY13" i="8"/>
  <c r="BD12" i="8"/>
  <c r="BD9" i="8"/>
  <c r="BE9" i="8"/>
  <c r="BA13" i="8"/>
  <c r="AV18" i="17"/>
  <c r="J18" i="17"/>
  <c r="T13" i="16"/>
  <c r="AP13" i="16"/>
  <c r="F11" i="11"/>
  <c r="AQ11" i="11" s="1"/>
  <c r="E9" i="6"/>
  <c r="T18" i="17"/>
  <c r="BG15" i="13"/>
  <c r="BE16" i="13"/>
  <c r="BF16" i="13"/>
  <c r="J20" i="20"/>
  <c r="AL20" i="20"/>
  <c r="AN20" i="20"/>
  <c r="AK20" i="20"/>
  <c r="AM20" i="20"/>
  <c r="AJ20" i="20"/>
  <c r="F20" i="20"/>
  <c r="G18" i="14"/>
  <c r="AC20" i="20"/>
  <c r="AP20" i="20"/>
  <c r="AF20" i="20"/>
  <c r="S20" i="20"/>
  <c r="AQ20" i="21"/>
  <c r="K20" i="20"/>
  <c r="AE20" i="20"/>
  <c r="E20" i="20"/>
  <c r="U16" i="11"/>
  <c r="AQ20" i="20"/>
  <c r="P20" i="20"/>
  <c r="AZ20" i="20"/>
  <c r="L20" i="20"/>
  <c r="G13" i="14"/>
  <c r="AA20" i="20"/>
  <c r="O16" i="11"/>
  <c r="T20" i="20"/>
  <c r="I20" i="20"/>
  <c r="AD20" i="20"/>
  <c r="M20" i="20"/>
  <c r="W20" i="21"/>
  <c r="W20" i="20"/>
  <c r="AI20" i="20"/>
  <c r="AG20" i="20"/>
  <c r="AU20" i="20"/>
  <c r="Y20" i="20"/>
  <c r="O20" i="20"/>
  <c r="AH20" i="20"/>
  <c r="Q20" i="20"/>
  <c r="H20" i="20"/>
  <c r="N20" i="20"/>
  <c r="U12" i="11"/>
  <c r="R20" i="20"/>
  <c r="T20" i="21"/>
  <c r="AV20" i="20"/>
  <c r="AX20" i="20"/>
  <c r="AO20" i="20"/>
  <c r="X20" i="20"/>
  <c r="Z20" i="20"/>
  <c r="AB20" i="20"/>
  <c r="U10" i="11"/>
  <c r="B17" i="6" l="1"/>
  <c r="B18" i="2"/>
  <c r="AW18" i="21"/>
  <c r="Z13" i="17"/>
  <c r="H12" i="7"/>
  <c r="L12" i="14"/>
  <c r="AB19" i="8"/>
  <c r="Z19" i="8"/>
  <c r="BG10" i="8"/>
  <c r="C19" i="3"/>
  <c r="T10" i="21"/>
  <c r="E11" i="6"/>
  <c r="E15" i="6"/>
  <c r="F9" i="2"/>
  <c r="AO9" i="11"/>
  <c r="M18" i="2"/>
  <c r="N18" i="2"/>
  <c r="AO16" i="11"/>
  <c r="C17" i="6"/>
  <c r="H12" i="2"/>
  <c r="F15" i="17"/>
  <c r="BF11" i="8"/>
  <c r="BF9" i="8"/>
  <c r="C10" i="6"/>
  <c r="I10" i="12" s="1"/>
  <c r="BE15" i="13"/>
  <c r="BA18" i="13"/>
  <c r="BD15" i="8"/>
  <c r="H15" i="7" s="1"/>
  <c r="BE15" i="8"/>
  <c r="I15" i="7" s="1"/>
  <c r="BG16" i="8"/>
  <c r="K16" i="7" s="1"/>
  <c r="E18" i="2"/>
  <c r="AL15" i="11"/>
  <c r="L16" i="14"/>
  <c r="F15" i="11"/>
  <c r="F16" i="17"/>
  <c r="F18" i="17" s="1"/>
  <c r="BB13" i="13"/>
  <c r="D11" i="12"/>
  <c r="D12" i="12"/>
  <c r="BG9" i="8"/>
  <c r="K9" i="7" s="1"/>
  <c r="BD11" i="8"/>
  <c r="BE11" i="8"/>
  <c r="I11" i="7" s="1"/>
  <c r="BG12" i="8"/>
  <c r="BE12" i="8"/>
  <c r="I12" i="7" s="1"/>
  <c r="L11" i="14"/>
  <c r="F12" i="11"/>
  <c r="AQ12" i="11" s="1"/>
  <c r="R8" i="9"/>
  <c r="S16" i="14" s="1"/>
  <c r="V16" i="14" s="1"/>
  <c r="V15" i="11"/>
  <c r="Q17" i="20"/>
  <c r="S17" i="16"/>
  <c r="S9" i="17"/>
  <c r="S9" i="14"/>
  <c r="V9" i="14" s="1"/>
  <c r="BI17" i="11"/>
  <c r="BM15" i="11"/>
  <c r="BW9" i="20"/>
  <c r="BV15" i="16"/>
  <c r="BU17" i="17"/>
  <c r="AZ12" i="11"/>
  <c r="S15" i="16"/>
  <c r="BL10" i="11"/>
  <c r="BF15" i="11"/>
  <c r="BL16" i="11"/>
  <c r="V9" i="16"/>
  <c r="X13" i="20"/>
  <c r="AA12" i="21"/>
  <c r="S15" i="17"/>
  <c r="X9" i="16"/>
  <c r="X19" i="16" s="1"/>
  <c r="S17" i="14"/>
  <c r="V17" i="14" s="1"/>
  <c r="V18" i="14" s="1"/>
  <c r="T12" i="11"/>
  <c r="X10" i="17"/>
  <c r="V10" i="16"/>
  <c r="X10" i="21"/>
  <c r="AU18" i="21"/>
  <c r="L19" i="21"/>
  <c r="BD18" i="19"/>
  <c r="AC19" i="13"/>
  <c r="BA13" i="13"/>
  <c r="BE11" i="13"/>
  <c r="BG10" i="13"/>
  <c r="BE17" i="13"/>
  <c r="F17" i="11"/>
  <c r="AQ17" i="11" s="1"/>
  <c r="AQ15" i="11"/>
  <c r="K12" i="7"/>
  <c r="E12" i="6"/>
  <c r="K12" i="12" s="1"/>
  <c r="C12" i="6"/>
  <c r="AL12" i="11"/>
  <c r="C18" i="2"/>
  <c r="D18" i="2" s="1"/>
  <c r="G18" i="12"/>
  <c r="E16" i="6"/>
  <c r="K16" i="12" s="1"/>
  <c r="C15" i="6"/>
  <c r="I15" i="12" s="1"/>
  <c r="B15" i="6"/>
  <c r="G15" i="3"/>
  <c r="I12" i="3"/>
  <c r="E12" i="3"/>
  <c r="E10" i="3"/>
  <c r="AM11" i="11"/>
  <c r="L9" i="14"/>
  <c r="AO11" i="11"/>
  <c r="AL17" i="11"/>
  <c r="F15" i="2"/>
  <c r="AL16" i="11"/>
  <c r="AO17" i="17"/>
  <c r="L15" i="14"/>
  <c r="AR13" i="21"/>
  <c r="E13" i="17"/>
  <c r="W13" i="17"/>
  <c r="I9" i="7"/>
  <c r="H9" i="7"/>
  <c r="K15" i="7"/>
  <c r="I18" i="2"/>
  <c r="G18" i="2"/>
  <c r="L17" i="14"/>
  <c r="H11" i="7"/>
  <c r="B11" i="6"/>
  <c r="AL9" i="11"/>
  <c r="AO15" i="17"/>
  <c r="AO15" i="11"/>
  <c r="C16" i="6"/>
  <c r="BI16" i="16"/>
  <c r="H17" i="7"/>
  <c r="AN11" i="11"/>
  <c r="D9" i="6"/>
  <c r="J9" i="12" s="1"/>
  <c r="C9" i="6"/>
  <c r="I9" i="12" s="1"/>
  <c r="AQ15" i="17"/>
  <c r="AC19" i="17"/>
  <c r="AE13" i="17"/>
  <c r="BD13" i="13"/>
  <c r="AN19" i="13"/>
  <c r="X19" i="13"/>
  <c r="BH19" i="13"/>
  <c r="AC19" i="8"/>
  <c r="AC12" i="11"/>
  <c r="AB13" i="21"/>
  <c r="AB21" i="21" s="1"/>
  <c r="C15" i="14"/>
  <c r="K15" i="14" s="1"/>
  <c r="E9" i="12"/>
  <c r="Y10" i="11"/>
  <c r="Y12" i="11"/>
  <c r="J9" i="7"/>
  <c r="J15" i="7"/>
  <c r="F17" i="2"/>
  <c r="J15" i="2"/>
  <c r="BF18" i="19"/>
  <c r="AS13" i="21"/>
  <c r="AO18" i="20"/>
  <c r="AL19" i="16"/>
  <c r="AJ13" i="16"/>
  <c r="AJ19" i="16" s="1"/>
  <c r="AM19" i="13"/>
  <c r="W19" i="13"/>
  <c r="U19" i="13"/>
  <c r="Q19" i="13"/>
  <c r="V19" i="13"/>
  <c r="BD11" i="13"/>
  <c r="BE13" i="13"/>
  <c r="AN15" i="11"/>
  <c r="D15" i="6"/>
  <c r="J15" i="12" s="1"/>
  <c r="D17" i="6"/>
  <c r="J17" i="12" s="1"/>
  <c r="BI15" i="16"/>
  <c r="EN19" i="8"/>
  <c r="AI18" i="11"/>
  <c r="AE13" i="11"/>
  <c r="AH13" i="11"/>
  <c r="AP11" i="11"/>
  <c r="B13" i="3"/>
  <c r="B13" i="2"/>
  <c r="B18" i="7"/>
  <c r="D18" i="12"/>
  <c r="AR18" i="11"/>
  <c r="AV18" i="21"/>
  <c r="BM18" i="16"/>
  <c r="Q19" i="8"/>
  <c r="K18" i="11"/>
  <c r="I12" i="10"/>
  <c r="K12" i="10" s="1"/>
  <c r="AL19" i="8"/>
  <c r="X19" i="8"/>
  <c r="R19" i="8"/>
  <c r="BK19" i="8"/>
  <c r="AK19" i="8"/>
  <c r="AA19" i="8"/>
  <c r="BE10" i="8"/>
  <c r="I10" i="7" s="1"/>
  <c r="F16" i="11"/>
  <c r="F11" i="17"/>
  <c r="AQ11" i="17" s="1"/>
  <c r="F11" i="16"/>
  <c r="F15" i="16"/>
  <c r="BL15" i="16" s="1"/>
  <c r="G12" i="12"/>
  <c r="E12" i="12"/>
  <c r="G9" i="12"/>
  <c r="D9" i="12"/>
  <c r="F9" i="12"/>
  <c r="AG13" i="11"/>
  <c r="D13" i="5"/>
  <c r="J17" i="7"/>
  <c r="J11" i="7"/>
  <c r="AN17" i="11"/>
  <c r="I16" i="3"/>
  <c r="E16" i="3"/>
  <c r="BB19" i="19"/>
  <c r="AO13" i="20"/>
  <c r="AR13" i="20"/>
  <c r="AF13" i="21"/>
  <c r="AF19" i="21" s="1"/>
  <c r="P19" i="19"/>
  <c r="V19" i="19"/>
  <c r="AD19" i="19"/>
  <c r="S18" i="16"/>
  <c r="S19" i="16" s="1"/>
  <c r="BG13" i="13"/>
  <c r="BC19" i="13"/>
  <c r="BG9" i="13"/>
  <c r="AB19" i="13"/>
  <c r="BK19" i="13"/>
  <c r="AQ19" i="13"/>
  <c r="AA19" i="13"/>
  <c r="BF18" i="13"/>
  <c r="J12" i="7"/>
  <c r="AN12" i="11"/>
  <c r="H17" i="2"/>
  <c r="AI19" i="8"/>
  <c r="W19" i="8"/>
  <c r="BD16" i="8"/>
  <c r="H16" i="7" s="1"/>
  <c r="AX21" i="11"/>
  <c r="E11" i="12"/>
  <c r="AH19" i="8"/>
  <c r="AG19" i="8"/>
  <c r="U19" i="8"/>
  <c r="BG17" i="8"/>
  <c r="K17" i="7" s="1"/>
  <c r="J12" i="2"/>
  <c r="H11" i="2"/>
  <c r="H9" i="2"/>
  <c r="BE17" i="8"/>
  <c r="I17" i="7" s="1"/>
  <c r="N12" i="11"/>
  <c r="AT19" i="8"/>
  <c r="L18" i="11"/>
  <c r="I15" i="10"/>
  <c r="K15" i="10" s="1"/>
  <c r="I9" i="10"/>
  <c r="K9" i="10" s="1"/>
  <c r="F18" i="2"/>
  <c r="AN9" i="11"/>
  <c r="AE19" i="21"/>
  <c r="T13" i="20"/>
  <c r="AP13" i="20"/>
  <c r="AT18" i="20"/>
  <c r="BE18" i="19"/>
  <c r="CJ19" i="19"/>
  <c r="R19" i="19"/>
  <c r="AL19" i="19"/>
  <c r="AR19" i="19"/>
  <c r="EL19" i="19"/>
  <c r="CN19" i="19"/>
  <c r="ER19" i="19"/>
  <c r="BE10" i="13"/>
  <c r="J12" i="10"/>
  <c r="L12" i="10" s="1"/>
  <c r="E17" i="6"/>
  <c r="H18" i="12"/>
  <c r="H21" i="12" s="1"/>
  <c r="C13" i="5"/>
  <c r="F12" i="21"/>
  <c r="F13" i="21" s="1"/>
  <c r="F19" i="21" s="1"/>
  <c r="AO13" i="21"/>
  <c r="AO21" i="21" s="1"/>
  <c r="BE12" i="21"/>
  <c r="BE13" i="21" s="1"/>
  <c r="BE19" i="21" s="1"/>
  <c r="C12" i="14"/>
  <c r="K12" i="14" s="1"/>
  <c r="AP15" i="11"/>
  <c r="AV13" i="11"/>
  <c r="AB18" i="11"/>
  <c r="D12" i="6"/>
  <c r="J12" i="12" s="1"/>
  <c r="AN16" i="11"/>
  <c r="I11" i="3"/>
  <c r="J16" i="10"/>
  <c r="L16" i="10" s="1"/>
  <c r="J17" i="10"/>
  <c r="L17" i="10" s="1"/>
  <c r="BC21" i="21"/>
  <c r="M19" i="21"/>
  <c r="AM13" i="21"/>
  <c r="AM19" i="21" s="1"/>
  <c r="BC19" i="19"/>
  <c r="AS19" i="19"/>
  <c r="AP18" i="20"/>
  <c r="AJ19" i="19"/>
  <c r="AP19" i="19"/>
  <c r="Q19" i="19"/>
  <c r="X19" i="19"/>
  <c r="AF19" i="19"/>
  <c r="AN19" i="19"/>
  <c r="AM19" i="19"/>
  <c r="BI19" i="19"/>
  <c r="AY19" i="19"/>
  <c r="BE13" i="19"/>
  <c r="S19" i="19"/>
  <c r="AA19" i="19"/>
  <c r="AI19" i="19"/>
  <c r="BK19" i="19"/>
  <c r="CL19" i="19"/>
  <c r="AD19" i="13"/>
  <c r="AK19" i="13"/>
  <c r="Z19" i="13"/>
  <c r="BD10" i="13"/>
  <c r="AI19" i="13"/>
  <c r="L19" i="13"/>
  <c r="Y19" i="13"/>
  <c r="N19" i="13"/>
  <c r="K9" i="12"/>
  <c r="I19" i="8"/>
  <c r="AS19" i="8"/>
  <c r="K13" i="17"/>
  <c r="J13" i="17"/>
  <c r="K18" i="17"/>
  <c r="AF13" i="17"/>
  <c r="AX21" i="17"/>
  <c r="AQ10" i="17"/>
  <c r="H19" i="21"/>
  <c r="F12" i="2"/>
  <c r="K15" i="12"/>
  <c r="J9" i="2"/>
  <c r="J15" i="10"/>
  <c r="L15" i="10" s="1"/>
  <c r="J11" i="10"/>
  <c r="L11" i="10" s="1"/>
  <c r="AA13" i="11"/>
  <c r="I18" i="11"/>
  <c r="E17" i="3"/>
  <c r="E15" i="3"/>
  <c r="N13" i="17"/>
  <c r="I10" i="10"/>
  <c r="K10" i="10" s="1"/>
  <c r="I11" i="10"/>
  <c r="K11" i="10" s="1"/>
  <c r="G17" i="3"/>
  <c r="G11" i="3"/>
  <c r="I10" i="3"/>
  <c r="F11" i="12"/>
  <c r="C10" i="14"/>
  <c r="K10" i="14" s="1"/>
  <c r="C17" i="14"/>
  <c r="K17" i="14" s="1"/>
  <c r="AR13" i="11"/>
  <c r="G18" i="7"/>
  <c r="AV13" i="16"/>
  <c r="AG13" i="17"/>
  <c r="AJ13" i="17"/>
  <c r="AK18" i="17"/>
  <c r="AK13" i="17"/>
  <c r="AL13" i="17"/>
  <c r="AM13" i="17"/>
  <c r="AV13" i="17"/>
  <c r="AV19" i="17" s="1"/>
  <c r="AT19" i="17"/>
  <c r="G13" i="16"/>
  <c r="EM19" i="8"/>
  <c r="E13" i="21"/>
  <c r="N13" i="21"/>
  <c r="O13" i="21"/>
  <c r="O19" i="21" s="1"/>
  <c r="AG13" i="21"/>
  <c r="AG19" i="21" s="1"/>
  <c r="AL13" i="21"/>
  <c r="AL21" i="21" s="1"/>
  <c r="AN13" i="21"/>
  <c r="AN19" i="21" s="1"/>
  <c r="AY13" i="21"/>
  <c r="BA21" i="21"/>
  <c r="BL11" i="16"/>
  <c r="F12" i="12"/>
  <c r="AI13" i="11"/>
  <c r="AU13" i="11"/>
  <c r="AP17" i="11"/>
  <c r="AT13" i="11"/>
  <c r="AV18" i="11"/>
  <c r="R13" i="11"/>
  <c r="Z13" i="11"/>
  <c r="AD13" i="11"/>
  <c r="AF18" i="11"/>
  <c r="AF13" i="11"/>
  <c r="I13" i="11"/>
  <c r="I19" i="11" s="1"/>
  <c r="J18" i="11"/>
  <c r="AC15" i="11"/>
  <c r="AS13" i="11"/>
  <c r="AS18" i="11"/>
  <c r="E13" i="11"/>
  <c r="AH18" i="11"/>
  <c r="S13" i="11"/>
  <c r="C18" i="5"/>
  <c r="B13" i="5"/>
  <c r="D16" i="6"/>
  <c r="J16" i="12" s="1"/>
  <c r="H18" i="3"/>
  <c r="I18" i="3" s="1"/>
  <c r="I15" i="3"/>
  <c r="I17" i="3"/>
  <c r="AN10" i="11"/>
  <c r="J9" i="10"/>
  <c r="L9" i="10" s="1"/>
  <c r="J10" i="10"/>
  <c r="L10" i="10" s="1"/>
  <c r="F10" i="2"/>
  <c r="J10" i="2"/>
  <c r="K18" i="2"/>
  <c r="L10" i="14"/>
  <c r="D10" i="6"/>
  <c r="H10" i="2"/>
  <c r="G13" i="2"/>
  <c r="H13" i="2" s="1"/>
  <c r="AP13" i="21"/>
  <c r="AQ10" i="11"/>
  <c r="E13" i="2"/>
  <c r="B10" i="6"/>
  <c r="K10" i="7"/>
  <c r="E10" i="6"/>
  <c r="K10" i="12" s="1"/>
  <c r="AO10" i="11"/>
  <c r="G13" i="21"/>
  <c r="G20" i="21" s="1"/>
  <c r="AO10" i="17"/>
  <c r="L19" i="8"/>
  <c r="I13" i="2"/>
  <c r="AT10" i="21"/>
  <c r="W18" i="16"/>
  <c r="AY18" i="11"/>
  <c r="AJ18" i="17"/>
  <c r="H21" i="21"/>
  <c r="AY13" i="11"/>
  <c r="U13" i="16"/>
  <c r="O18" i="16"/>
  <c r="AQ18" i="20"/>
  <c r="AU18" i="20"/>
  <c r="AU19" i="20" s="1"/>
  <c r="Z18" i="16"/>
  <c r="F16" i="16"/>
  <c r="BL16" i="16" s="1"/>
  <c r="AS13" i="16"/>
  <c r="BD18" i="16"/>
  <c r="BE13" i="16"/>
  <c r="BF13" i="16"/>
  <c r="BK13" i="16"/>
  <c r="I13" i="16"/>
  <c r="AF13" i="16"/>
  <c r="H19" i="16"/>
  <c r="AB13" i="16"/>
  <c r="BD13" i="16"/>
  <c r="K19" i="13"/>
  <c r="D13" i="14"/>
  <c r="G13" i="11"/>
  <c r="D13" i="12" s="1"/>
  <c r="C13" i="2"/>
  <c r="G13" i="17"/>
  <c r="BH13" i="16"/>
  <c r="E13" i="7"/>
  <c r="AA13" i="17"/>
  <c r="BG13" i="16"/>
  <c r="G13" i="7"/>
  <c r="K13" i="2"/>
  <c r="T13" i="17"/>
  <c r="BG18" i="16"/>
  <c r="F18" i="12"/>
  <c r="AP18" i="21"/>
  <c r="D18" i="14"/>
  <c r="G18" i="11"/>
  <c r="G21" i="11" s="1"/>
  <c r="W13" i="11"/>
  <c r="F13" i="12" s="1"/>
  <c r="D18" i="3"/>
  <c r="E18" i="3" s="1"/>
  <c r="W13" i="16"/>
  <c r="M19" i="8"/>
  <c r="F19" i="7" s="1"/>
  <c r="F18" i="7"/>
  <c r="AX19" i="21"/>
  <c r="BD21" i="21"/>
  <c r="AT18" i="21"/>
  <c r="AA18" i="21"/>
  <c r="BD19" i="21"/>
  <c r="AZ21" i="21"/>
  <c r="AC18" i="20"/>
  <c r="AC21" i="20" s="1"/>
  <c r="AX18" i="20"/>
  <c r="J18" i="20"/>
  <c r="J19" i="20" s="1"/>
  <c r="O18" i="20"/>
  <c r="O19" i="20" s="1"/>
  <c r="AK18" i="20"/>
  <c r="AK19" i="20" s="1"/>
  <c r="BB21" i="20"/>
  <c r="AN18" i="20"/>
  <c r="AN19" i="20" s="1"/>
  <c r="AE18" i="20"/>
  <c r="AE21" i="20" s="1"/>
  <c r="AV18" i="20"/>
  <c r="AV19" i="20" s="1"/>
  <c r="AF18" i="20"/>
  <c r="AF19" i="20" s="1"/>
  <c r="AN21" i="20"/>
  <c r="AB18" i="20"/>
  <c r="AB19" i="20" s="1"/>
  <c r="AJ18" i="20"/>
  <c r="AJ19" i="20" s="1"/>
  <c r="P18" i="20"/>
  <c r="P19" i="20" s="1"/>
  <c r="H18" i="20"/>
  <c r="H19" i="20" s="1"/>
  <c r="K18" i="20"/>
  <c r="F17" i="20"/>
  <c r="AS17" i="20" s="1"/>
  <c r="AL18" i="20"/>
  <c r="AL19" i="20" s="1"/>
  <c r="AA18" i="20"/>
  <c r="AA19" i="20" s="1"/>
  <c r="G18" i="20"/>
  <c r="G20" i="20" s="1"/>
  <c r="Y18" i="20"/>
  <c r="Y19" i="20" s="1"/>
  <c r="AG18" i="20"/>
  <c r="AG19" i="20" s="1"/>
  <c r="Z18" i="20"/>
  <c r="Z19" i="20" s="1"/>
  <c r="L18" i="20"/>
  <c r="E18" i="20"/>
  <c r="AB19" i="17"/>
  <c r="AL18" i="17"/>
  <c r="R18" i="17"/>
  <c r="Y13" i="17"/>
  <c r="Y18" i="17"/>
  <c r="O18" i="17"/>
  <c r="O19" i="17" s="1"/>
  <c r="AH21" i="17"/>
  <c r="J13" i="16"/>
  <c r="F9" i="16"/>
  <c r="BL9" i="16" s="1"/>
  <c r="AC18" i="16"/>
  <c r="BP21" i="16"/>
  <c r="AZ18" i="16"/>
  <c r="J18" i="16"/>
  <c r="BS18" i="16"/>
  <c r="AD13" i="16"/>
  <c r="AD19" i="16" s="1"/>
  <c r="Q13" i="16"/>
  <c r="X13" i="16"/>
  <c r="AS18" i="16"/>
  <c r="AZ13" i="16"/>
  <c r="AN19" i="16"/>
  <c r="AW19" i="11"/>
  <c r="AC16" i="11"/>
  <c r="K13" i="11"/>
  <c r="N18" i="11"/>
  <c r="AT18" i="11"/>
  <c r="M13" i="11"/>
  <c r="L13" i="11"/>
  <c r="AP16" i="11"/>
  <c r="Z18" i="11"/>
  <c r="AB13" i="11"/>
  <c r="W18" i="11"/>
  <c r="Y16" i="11"/>
  <c r="Y18" i="11" s="1"/>
  <c r="X18" i="11"/>
  <c r="AC9" i="11"/>
  <c r="H13" i="11"/>
  <c r="E13" i="12" s="1"/>
  <c r="S18" i="11"/>
  <c r="T18" i="11" s="1"/>
  <c r="H18" i="11"/>
  <c r="X13" i="11"/>
  <c r="AA18" i="11"/>
  <c r="M18" i="11"/>
  <c r="C16" i="14"/>
  <c r="K16" i="14" s="1"/>
  <c r="J16" i="7"/>
  <c r="F18" i="3"/>
  <c r="G18" i="3" s="1"/>
  <c r="H13" i="3"/>
  <c r="AJ18" i="11"/>
  <c r="D18" i="5"/>
  <c r="F16" i="2"/>
  <c r="H16" i="2"/>
  <c r="J16" i="2"/>
  <c r="F13" i="3"/>
  <c r="E9" i="3"/>
  <c r="G9" i="3"/>
  <c r="W18" i="17"/>
  <c r="X18" i="17" s="1"/>
  <c r="AN21" i="17"/>
  <c r="AU18" i="11"/>
  <c r="CK19" i="8"/>
  <c r="AM13" i="16"/>
  <c r="AX18" i="16"/>
  <c r="AY18" i="16"/>
  <c r="L18" i="17"/>
  <c r="BM13" i="16"/>
  <c r="AE13" i="16"/>
  <c r="AE19" i="16" s="1"/>
  <c r="BH19" i="8"/>
  <c r="AF18" i="16"/>
  <c r="AT18" i="16"/>
  <c r="BU18" i="16"/>
  <c r="K13" i="16"/>
  <c r="K19" i="16" s="1"/>
  <c r="P13" i="21"/>
  <c r="P19" i="21" s="1"/>
  <c r="BB13" i="8"/>
  <c r="BE13" i="8" s="1"/>
  <c r="AB18" i="16"/>
  <c r="AT13" i="16"/>
  <c r="BC13" i="16"/>
  <c r="AW21" i="17"/>
  <c r="P18" i="16"/>
  <c r="M18" i="17"/>
  <c r="M19" i="17" s="1"/>
  <c r="K19" i="8"/>
  <c r="BG11" i="8"/>
  <c r="K11" i="7" s="1"/>
  <c r="BD10" i="8"/>
  <c r="H10" i="7" s="1"/>
  <c r="AF19" i="8"/>
  <c r="AG19" i="16"/>
  <c r="AC13" i="16"/>
  <c r="AE18" i="17"/>
  <c r="H18" i="17"/>
  <c r="H19" i="17" s="1"/>
  <c r="AH13" i="21"/>
  <c r="AH19" i="21" s="1"/>
  <c r="B18" i="5"/>
  <c r="AY19" i="8"/>
  <c r="E13" i="16"/>
  <c r="F12" i="16"/>
  <c r="BL12" i="16" s="1"/>
  <c r="K13" i="21"/>
  <c r="U18" i="16"/>
  <c r="L13" i="16"/>
  <c r="BC13" i="8"/>
  <c r="BF13" i="8" s="1"/>
  <c r="G18" i="17"/>
  <c r="AR18" i="17"/>
  <c r="N13" i="16"/>
  <c r="V13" i="17"/>
  <c r="V19" i="17" s="1"/>
  <c r="AV18" i="16"/>
  <c r="Y19" i="21"/>
  <c r="AW18" i="16"/>
  <c r="AY13" i="16"/>
  <c r="AG18" i="17"/>
  <c r="T13" i="21"/>
  <c r="T19" i="21" s="1"/>
  <c r="AI13" i="21"/>
  <c r="AI19" i="21" s="1"/>
  <c r="BB21" i="21"/>
  <c r="AK13" i="21"/>
  <c r="AK19" i="21" s="1"/>
  <c r="BF13" i="13"/>
  <c r="BI19" i="13"/>
  <c r="AL19" i="13"/>
  <c r="AZ19" i="13"/>
  <c r="M19" i="13"/>
  <c r="BF17" i="13"/>
  <c r="J19" i="13"/>
  <c r="T19" i="13"/>
  <c r="BF11" i="13"/>
  <c r="I19" i="13"/>
  <c r="BF10" i="13"/>
  <c r="BD18" i="13"/>
  <c r="AF19" i="13"/>
  <c r="P19" i="13"/>
  <c r="T16" i="20"/>
  <c r="S18" i="20"/>
  <c r="S19" i="20" s="1"/>
  <c r="W18" i="20"/>
  <c r="X18" i="20" s="1"/>
  <c r="L19" i="19"/>
  <c r="J19" i="19"/>
  <c r="M19" i="20"/>
  <c r="AD18" i="20"/>
  <c r="AD21" i="20" s="1"/>
  <c r="AI18" i="20"/>
  <c r="AI19" i="20" s="1"/>
  <c r="F16" i="20"/>
  <c r="N19" i="21"/>
  <c r="K19" i="19"/>
  <c r="AO19" i="20" s="1"/>
  <c r="O19" i="19"/>
  <c r="W19" i="19"/>
  <c r="AE19" i="19"/>
  <c r="BH19" i="19"/>
  <c r="BC21" i="20"/>
  <c r="AC13" i="21"/>
  <c r="AC21" i="21" s="1"/>
  <c r="AS13" i="20"/>
  <c r="I18" i="20"/>
  <c r="I19" i="20" s="1"/>
  <c r="BC19" i="21"/>
  <c r="AZ19" i="19"/>
  <c r="AD13" i="21"/>
  <c r="AD19" i="21" s="1"/>
  <c r="Z13" i="21"/>
  <c r="AK21" i="20"/>
  <c r="AJ13" i="21"/>
  <c r="CI19" i="19"/>
  <c r="AR19" i="20" s="1"/>
  <c r="EN19" i="19"/>
  <c r="AM18" i="20"/>
  <c r="AM21" i="20" s="1"/>
  <c r="EQ19" i="19"/>
  <c r="U18" i="20"/>
  <c r="AH19" i="19"/>
  <c r="AH18" i="20"/>
  <c r="AH19" i="20" s="1"/>
  <c r="BG18" i="19"/>
  <c r="I13" i="21"/>
  <c r="I19" i="21" s="1"/>
  <c r="EO19" i="19"/>
  <c r="C11" i="14"/>
  <c r="K11" i="14" s="1"/>
  <c r="M19" i="2"/>
  <c r="S13" i="21"/>
  <c r="S19" i="21" s="1"/>
  <c r="AE18" i="11"/>
  <c r="AJ13" i="11"/>
  <c r="F18" i="14"/>
  <c r="AO19" i="16"/>
  <c r="E18" i="14"/>
  <c r="F13" i="14"/>
  <c r="J19" i="8"/>
  <c r="C9" i="14"/>
  <c r="AQ9" i="11"/>
  <c r="BC18" i="8"/>
  <c r="AZ18" i="8"/>
  <c r="BE18" i="13"/>
  <c r="BB19" i="13"/>
  <c r="AQ16" i="17"/>
  <c r="AY21" i="21"/>
  <c r="AG18" i="11"/>
  <c r="AK18" i="11"/>
  <c r="E13" i="14"/>
  <c r="O19" i="16"/>
  <c r="I17" i="12"/>
  <c r="AS16" i="20"/>
  <c r="AQ19" i="20"/>
  <c r="D11" i="6"/>
  <c r="J11" i="12" s="1"/>
  <c r="E11" i="3"/>
  <c r="R15" i="14"/>
  <c r="AM17" i="11"/>
  <c r="BG17" i="11"/>
  <c r="P19" i="8"/>
  <c r="AO11" i="17"/>
  <c r="AQ18" i="21"/>
  <c r="BG11" i="11"/>
  <c r="BJ9" i="11"/>
  <c r="BA19" i="19"/>
  <c r="BG19" i="19" s="1"/>
  <c r="BD13" i="19"/>
  <c r="BF13" i="19"/>
  <c r="AD19" i="8"/>
  <c r="V19" i="8"/>
  <c r="U16" i="21"/>
  <c r="U18" i="21" s="1"/>
  <c r="V16" i="20"/>
  <c r="X17" i="16"/>
  <c r="AA10" i="21"/>
  <c r="D13" i="3"/>
  <c r="N19" i="8"/>
  <c r="BH12" i="11"/>
  <c r="S12" i="17"/>
  <c r="AP12" i="21"/>
  <c r="BM11" i="11"/>
  <c r="BM10" i="11"/>
  <c r="BF9" i="11"/>
  <c r="V16" i="16"/>
  <c r="J11" i="2"/>
  <c r="F11" i="2"/>
  <c r="BE16" i="8"/>
  <c r="I16" i="7" s="1"/>
  <c r="BB18" i="8"/>
  <c r="AK13" i="11"/>
  <c r="BA18" i="8"/>
  <c r="AR19" i="13"/>
  <c r="AJ19" i="13"/>
  <c r="N18" i="17"/>
  <c r="I9" i="3"/>
  <c r="AN19" i="8"/>
  <c r="M18" i="16"/>
  <c r="BB19" i="16"/>
  <c r="E18" i="17"/>
  <c r="AH19" i="13"/>
  <c r="R19" i="13"/>
  <c r="AP19" i="13"/>
  <c r="R9" i="14"/>
  <c r="BG13" i="19"/>
  <c r="BF10" i="8"/>
  <c r="J10" i="7" s="1"/>
  <c r="AZ13" i="8"/>
  <c r="AG19" i="13"/>
  <c r="BF18" i="16"/>
  <c r="AY18" i="13"/>
  <c r="BG17" i="13"/>
  <c r="R13" i="17"/>
  <c r="CL19" i="8"/>
  <c r="G11" i="12"/>
  <c r="CJ19" i="8"/>
  <c r="AP18" i="17"/>
  <c r="N19" i="20"/>
  <c r="CP19" i="8"/>
  <c r="J13" i="21"/>
  <c r="J17" i="2"/>
  <c r="E18" i="16"/>
  <c r="M13" i="16"/>
  <c r="R18" i="16"/>
  <c r="AA12" i="16"/>
  <c r="AD19" i="17"/>
  <c r="AW13" i="16"/>
  <c r="BT13" i="16"/>
  <c r="AD18" i="11"/>
  <c r="AQ19" i="16"/>
  <c r="Q18" i="16"/>
  <c r="AA18" i="17"/>
  <c r="AU13" i="16"/>
  <c r="AU18" i="16"/>
  <c r="BC18" i="16"/>
  <c r="BE18" i="16"/>
  <c r="AI19" i="17"/>
  <c r="AM18" i="16"/>
  <c r="BO18" i="16"/>
  <c r="BO19" i="16" s="1"/>
  <c r="E18" i="11"/>
  <c r="I18" i="16"/>
  <c r="BJ18" i="16"/>
  <c r="N19" i="2"/>
  <c r="BU13" i="16"/>
  <c r="AM18" i="17"/>
  <c r="AS18" i="17"/>
  <c r="AS19" i="17" s="1"/>
  <c r="Z18" i="17"/>
  <c r="Z19" i="17" s="1"/>
  <c r="BL10" i="16"/>
  <c r="F9" i="17"/>
  <c r="EM19" i="19"/>
  <c r="AR18" i="20"/>
  <c r="X10" i="16"/>
  <c r="L19" i="17"/>
  <c r="AH19" i="16"/>
  <c r="I13" i="17"/>
  <c r="BF12" i="13"/>
  <c r="G18" i="16"/>
  <c r="AX13" i="16"/>
  <c r="BQ13" i="16"/>
  <c r="BQ18" i="16"/>
  <c r="BT18" i="16"/>
  <c r="AF18" i="17"/>
  <c r="Z13" i="16"/>
  <c r="X11" i="16"/>
  <c r="U11" i="17"/>
  <c r="W19" i="21"/>
  <c r="R13" i="16"/>
  <c r="AR13" i="17"/>
  <c r="U17" i="17"/>
  <c r="U12" i="21"/>
  <c r="F12" i="17"/>
  <c r="AQ12" i="17" s="1"/>
  <c r="AI13" i="16"/>
  <c r="AI19" i="16" s="1"/>
  <c r="I18" i="17"/>
  <c r="L18" i="16"/>
  <c r="U16" i="17"/>
  <c r="AZ18" i="20"/>
  <c r="AZ19" i="20" s="1"/>
  <c r="Y13" i="16"/>
  <c r="O18" i="11"/>
  <c r="AS20" i="20"/>
  <c r="H13" i="14"/>
  <c r="AD13" i="14"/>
  <c r="Z13" i="14"/>
  <c r="M13" i="14"/>
  <c r="Y13" i="14"/>
  <c r="AA13" i="14"/>
  <c r="W13" i="14"/>
  <c r="P13" i="14"/>
  <c r="Q13" i="14"/>
  <c r="X13" i="14"/>
  <c r="AC13" i="14"/>
  <c r="AB13" i="14"/>
  <c r="V16" i="11"/>
  <c r="U18" i="11"/>
  <c r="AA18" i="14"/>
  <c r="S18" i="14"/>
  <c r="W18" i="14"/>
  <c r="H18" i="14"/>
  <c r="Z18" i="14"/>
  <c r="X18" i="14"/>
  <c r="AD18" i="14"/>
  <c r="Q18" i="14"/>
  <c r="P18" i="14"/>
  <c r="Y18" i="14"/>
  <c r="AC18" i="14"/>
  <c r="AB18" i="14"/>
  <c r="M18" i="14"/>
  <c r="U21" i="11"/>
  <c r="U13" i="11"/>
  <c r="V13" i="11" s="1"/>
  <c r="U19" i="11"/>
  <c r="V19" i="11" s="1"/>
  <c r="V10" i="11"/>
  <c r="V12" i="11"/>
  <c r="O17" i="11"/>
  <c r="AW20" i="11"/>
  <c r="AV20" i="21"/>
  <c r="H20" i="17"/>
  <c r="AX20" i="21"/>
  <c r="U17" i="11"/>
  <c r="O10" i="11"/>
  <c r="BR20" i="16"/>
  <c r="AU20" i="17"/>
  <c r="BP20" i="16"/>
  <c r="D19" i="12" l="1"/>
  <c r="AL18" i="11"/>
  <c r="AI19" i="11"/>
  <c r="G19" i="7"/>
  <c r="I12" i="12"/>
  <c r="D19" i="5"/>
  <c r="B19" i="7"/>
  <c r="AM13" i="11"/>
  <c r="C18" i="6"/>
  <c r="AM15" i="11"/>
  <c r="S16" i="17"/>
  <c r="AZ11" i="11"/>
  <c r="AA11" i="16"/>
  <c r="T17" i="11"/>
  <c r="R17" i="14"/>
  <c r="R18" i="14" s="1"/>
  <c r="X15" i="16"/>
  <c r="X18" i="16" s="1"/>
  <c r="L11" i="2"/>
  <c r="V17" i="16"/>
  <c r="X17" i="20"/>
  <c r="AA10" i="16"/>
  <c r="L15" i="2"/>
  <c r="AQ12" i="21"/>
  <c r="Q15" i="17"/>
  <c r="BF12" i="11"/>
  <c r="T15" i="11"/>
  <c r="BV9" i="16"/>
  <c r="BU9" i="17"/>
  <c r="BV16" i="16"/>
  <c r="T15" i="16"/>
  <c r="BL11" i="11"/>
  <c r="BJ11" i="11"/>
  <c r="BI10" i="11"/>
  <c r="X11" i="17"/>
  <c r="BF17" i="11"/>
  <c r="BH15" i="11"/>
  <c r="AP16" i="20"/>
  <c r="F18" i="20"/>
  <c r="F21" i="20" s="1"/>
  <c r="F18" i="11"/>
  <c r="J18" i="2"/>
  <c r="B18" i="6"/>
  <c r="I11" i="12"/>
  <c r="Y13" i="11"/>
  <c r="Q18" i="20"/>
  <c r="Q19" i="20" s="1"/>
  <c r="BF11" i="11"/>
  <c r="BL9" i="11"/>
  <c r="BG10" i="11"/>
  <c r="P17" i="17"/>
  <c r="BK12" i="11"/>
  <c r="BK9" i="11"/>
  <c r="AO12" i="17"/>
  <c r="X9" i="17"/>
  <c r="BM12" i="11"/>
  <c r="V9" i="11"/>
  <c r="BJ15" i="11"/>
  <c r="AP15" i="20"/>
  <c r="R17" i="20"/>
  <c r="AZ9" i="11"/>
  <c r="AZ15" i="11"/>
  <c r="AZ18" i="11" s="1"/>
  <c r="BV17" i="16"/>
  <c r="BV18" i="16" s="1"/>
  <c r="BV12" i="16"/>
  <c r="BV11" i="16"/>
  <c r="U10" i="17"/>
  <c r="S11" i="17"/>
  <c r="AA16" i="16"/>
  <c r="X15" i="17"/>
  <c r="T16" i="11"/>
  <c r="Q17" i="17"/>
  <c r="Q18" i="17" s="1"/>
  <c r="Q19" i="17" s="1"/>
  <c r="BI9" i="11"/>
  <c r="BJ10" i="11"/>
  <c r="BH11" i="11"/>
  <c r="S17" i="17"/>
  <c r="BH12" i="16"/>
  <c r="X12" i="17"/>
  <c r="L12" i="2"/>
  <c r="T9" i="11"/>
  <c r="BH11" i="16"/>
  <c r="BH17" i="16"/>
  <c r="BM16" i="11"/>
  <c r="BL17" i="11"/>
  <c r="BF10" i="11"/>
  <c r="Q10" i="11" s="1"/>
  <c r="R12" i="14"/>
  <c r="R13" i="14" s="1"/>
  <c r="V12" i="21"/>
  <c r="BK11" i="11"/>
  <c r="AP10" i="21"/>
  <c r="BH9" i="11"/>
  <c r="AO16" i="17"/>
  <c r="BJ12" i="11"/>
  <c r="BG15" i="11"/>
  <c r="BK17" i="11"/>
  <c r="AP17" i="20"/>
  <c r="BU11" i="17"/>
  <c r="BU10" i="17"/>
  <c r="BW12" i="20"/>
  <c r="BW11" i="20"/>
  <c r="BW10" i="20"/>
  <c r="BU12" i="17"/>
  <c r="AA15" i="16"/>
  <c r="S11" i="14"/>
  <c r="V11" i="14" s="1"/>
  <c r="BG12" i="11"/>
  <c r="P12" i="11" s="1"/>
  <c r="BH10" i="11"/>
  <c r="AQ10" i="21"/>
  <c r="BK16" i="11"/>
  <c r="BG16" i="11"/>
  <c r="BM9" i="11"/>
  <c r="BK10" i="11"/>
  <c r="U9" i="17"/>
  <c r="S12" i="14"/>
  <c r="R16" i="14"/>
  <c r="X12" i="21"/>
  <c r="X19" i="21" s="1"/>
  <c r="BH9" i="16"/>
  <c r="BJ17" i="11"/>
  <c r="BH15" i="16"/>
  <c r="V11" i="16"/>
  <c r="BF16" i="11"/>
  <c r="BL12" i="11"/>
  <c r="BK15" i="11"/>
  <c r="BK18" i="11" s="1"/>
  <c r="V11" i="11"/>
  <c r="Q10" i="21"/>
  <c r="Q13" i="21" s="1"/>
  <c r="Q19" i="21" s="1"/>
  <c r="BI15" i="11"/>
  <c r="R10" i="21"/>
  <c r="R13" i="21" s="1"/>
  <c r="R19" i="21" s="1"/>
  <c r="BG9" i="11"/>
  <c r="BH17" i="11"/>
  <c r="T17" i="16"/>
  <c r="T18" i="16" s="1"/>
  <c r="T19" i="16" s="1"/>
  <c r="BU15" i="17"/>
  <c r="BW17" i="20"/>
  <c r="BW16" i="20"/>
  <c r="BW15" i="20"/>
  <c r="BV10" i="16"/>
  <c r="BV13" i="16" s="1"/>
  <c r="BU16" i="17"/>
  <c r="AZ16" i="11"/>
  <c r="R10" i="14"/>
  <c r="X17" i="17"/>
  <c r="P15" i="17"/>
  <c r="P18" i="17" s="1"/>
  <c r="P19" i="17" s="1"/>
  <c r="BL15" i="11"/>
  <c r="Q15" i="11" s="1"/>
  <c r="BH10" i="16"/>
  <c r="BM17" i="11"/>
  <c r="BH16" i="11"/>
  <c r="BJ16" i="11"/>
  <c r="L10" i="2"/>
  <c r="L16" i="2"/>
  <c r="S15" i="14"/>
  <c r="V15" i="14" s="1"/>
  <c r="AA17" i="16"/>
  <c r="T17" i="20"/>
  <c r="U10" i="21"/>
  <c r="X16" i="20"/>
  <c r="S10" i="17"/>
  <c r="L9" i="2"/>
  <c r="L17" i="2"/>
  <c r="V15" i="20"/>
  <c r="S10" i="14"/>
  <c r="V10" i="14" s="1"/>
  <c r="R11" i="14"/>
  <c r="AM9" i="11"/>
  <c r="T11" i="11"/>
  <c r="X16" i="17"/>
  <c r="AA9" i="16"/>
  <c r="V15" i="16"/>
  <c r="V12" i="16"/>
  <c r="AZ17" i="11"/>
  <c r="X12" i="16"/>
  <c r="AM16" i="11"/>
  <c r="AM12" i="11"/>
  <c r="AO9" i="17"/>
  <c r="AQ13" i="21"/>
  <c r="X16" i="16"/>
  <c r="BH18" i="16"/>
  <c r="U12" i="17"/>
  <c r="AZ10" i="11"/>
  <c r="BH16" i="16"/>
  <c r="BI16" i="11"/>
  <c r="BI18" i="11" s="1"/>
  <c r="BI11" i="11"/>
  <c r="T10" i="11"/>
  <c r="AM10" i="11"/>
  <c r="BI12" i="11"/>
  <c r="V17" i="20"/>
  <c r="U15" i="17"/>
  <c r="U18" i="17" s="1"/>
  <c r="V10" i="21"/>
  <c r="V13" i="21" s="1"/>
  <c r="V19" i="21" s="1"/>
  <c r="Q18" i="11"/>
  <c r="T13" i="11"/>
  <c r="X13" i="17"/>
  <c r="AT12" i="21"/>
  <c r="AL19" i="21"/>
  <c r="AB19" i="21"/>
  <c r="J21" i="20"/>
  <c r="J21" i="17"/>
  <c r="AM18" i="11"/>
  <c r="BE21" i="21"/>
  <c r="K19" i="21"/>
  <c r="AC13" i="11"/>
  <c r="B13" i="6"/>
  <c r="K19" i="2"/>
  <c r="D21" i="12"/>
  <c r="F13" i="2"/>
  <c r="BI18" i="16"/>
  <c r="AO18" i="17"/>
  <c r="H18" i="2"/>
  <c r="AO18" i="11"/>
  <c r="E18" i="6"/>
  <c r="AS19" i="21"/>
  <c r="E19" i="17"/>
  <c r="AG21" i="17"/>
  <c r="AH19" i="11"/>
  <c r="K17" i="12"/>
  <c r="V17" i="11"/>
  <c r="AJ21" i="11"/>
  <c r="AQ16" i="11"/>
  <c r="AP19" i="16"/>
  <c r="AI21" i="11"/>
  <c r="K19" i="17"/>
  <c r="C19" i="2"/>
  <c r="D19" i="2" s="1"/>
  <c r="J19" i="11"/>
  <c r="R19" i="11"/>
  <c r="AF19" i="11"/>
  <c r="AG21" i="11"/>
  <c r="L19" i="11"/>
  <c r="I19" i="2"/>
  <c r="AU21" i="21"/>
  <c r="AP19" i="20"/>
  <c r="AW19" i="21"/>
  <c r="BK19" i="16"/>
  <c r="AK19" i="16"/>
  <c r="BA19" i="13"/>
  <c r="BF19" i="13" s="1"/>
  <c r="AK19" i="11"/>
  <c r="G20" i="11"/>
  <c r="AO13" i="17"/>
  <c r="AP13" i="11"/>
  <c r="AO19" i="21"/>
  <c r="G21" i="21"/>
  <c r="G19" i="20"/>
  <c r="AO21" i="20"/>
  <c r="AU19" i="21"/>
  <c r="G21" i="20"/>
  <c r="AX21" i="20"/>
  <c r="AT19" i="20"/>
  <c r="G19" i="16"/>
  <c r="AY19" i="21"/>
  <c r="H19" i="11"/>
  <c r="I21" i="11"/>
  <c r="E21" i="12"/>
  <c r="AE19" i="11"/>
  <c r="AA19" i="11"/>
  <c r="AN21" i="21"/>
  <c r="G19" i="21"/>
  <c r="AQ19" i="21"/>
  <c r="O19" i="11"/>
  <c r="O13" i="11"/>
  <c r="BE18" i="8"/>
  <c r="I18" i="7" s="1"/>
  <c r="AJ21" i="17"/>
  <c r="Z19" i="11"/>
  <c r="AL13" i="11"/>
  <c r="G19" i="11"/>
  <c r="BD19" i="16"/>
  <c r="D19" i="14"/>
  <c r="AG19" i="11"/>
  <c r="X19" i="11"/>
  <c r="AB19" i="11"/>
  <c r="M19" i="11"/>
  <c r="B19" i="5"/>
  <c r="W19" i="11"/>
  <c r="E19" i="2"/>
  <c r="J13" i="2"/>
  <c r="C13" i="6"/>
  <c r="F19" i="14"/>
  <c r="BG21" i="16"/>
  <c r="AN18" i="11"/>
  <c r="U19" i="16"/>
  <c r="BF21" i="16"/>
  <c r="AC19" i="20"/>
  <c r="AV20" i="11"/>
  <c r="F20" i="21"/>
  <c r="F20" i="16"/>
  <c r="AC20" i="21"/>
  <c r="AK20" i="16"/>
  <c r="AV20" i="16"/>
  <c r="AQ20" i="16"/>
  <c r="AJ20" i="16"/>
  <c r="AJ20" i="11"/>
  <c r="AS20" i="16"/>
  <c r="AD20" i="17"/>
  <c r="AM20" i="17"/>
  <c r="N20" i="16"/>
  <c r="AU20" i="16"/>
  <c r="AS20" i="11"/>
  <c r="S20" i="16"/>
  <c r="AL20" i="17"/>
  <c r="Z20" i="21"/>
  <c r="L20" i="21"/>
  <c r="Y20" i="21"/>
  <c r="AM20" i="11"/>
  <c r="I20" i="21"/>
  <c r="BO20" i="16"/>
  <c r="F20" i="11"/>
  <c r="AJ20" i="21"/>
  <c r="O20" i="17"/>
  <c r="T20" i="16"/>
  <c r="AO20" i="16"/>
  <c r="AT20" i="16"/>
  <c r="AF20" i="16"/>
  <c r="L20" i="16"/>
  <c r="H20" i="11"/>
  <c r="BE20" i="21"/>
  <c r="AW20" i="21"/>
  <c r="AR20" i="16"/>
  <c r="BH20" i="16"/>
  <c r="AF20" i="11"/>
  <c r="S20" i="11"/>
  <c r="AB20" i="17"/>
  <c r="J20" i="21"/>
  <c r="X20" i="17"/>
  <c r="W20" i="11"/>
  <c r="J20" i="12"/>
  <c r="BK20" i="16"/>
  <c r="K20" i="11"/>
  <c r="BD20" i="16"/>
  <c r="BJ20" i="16"/>
  <c r="R20" i="21"/>
  <c r="U20" i="20"/>
  <c r="BI20" i="16"/>
  <c r="AD20" i="21"/>
  <c r="J20" i="16"/>
  <c r="L20" i="11"/>
  <c r="T20" i="11"/>
  <c r="AP20" i="16"/>
  <c r="AG20" i="11"/>
  <c r="AE20" i="21"/>
  <c r="L20" i="17"/>
  <c r="V20" i="20"/>
  <c r="M20" i="16"/>
  <c r="X20" i="16"/>
  <c r="AP20" i="17"/>
  <c r="I20" i="11"/>
  <c r="AL20" i="11"/>
  <c r="AT20" i="11"/>
  <c r="AM20" i="21"/>
  <c r="AV20" i="17"/>
  <c r="G20" i="12"/>
  <c r="AR20" i="17"/>
  <c r="Q20" i="17"/>
  <c r="AW20" i="17"/>
  <c r="R20" i="16"/>
  <c r="BN20" i="16"/>
  <c r="AO20" i="11"/>
  <c r="BB20" i="16"/>
  <c r="N20" i="17"/>
  <c r="AN20" i="17"/>
  <c r="AC20" i="17"/>
  <c r="Q20" i="21"/>
  <c r="AK20" i="11"/>
  <c r="P20" i="21"/>
  <c r="O20" i="11"/>
  <c r="BS20" i="16"/>
  <c r="H20" i="12"/>
  <c r="N20" i="21"/>
  <c r="AU20" i="21"/>
  <c r="H20" i="16"/>
  <c r="AO20" i="17"/>
  <c r="AK20" i="17"/>
  <c r="S20" i="17"/>
  <c r="AT20" i="20"/>
  <c r="AW20" i="16"/>
  <c r="I20" i="16"/>
  <c r="AP20" i="21"/>
  <c r="F20" i="17"/>
  <c r="AU20" i="11"/>
  <c r="AC20" i="11"/>
  <c r="BF20" i="16"/>
  <c r="AA20" i="17"/>
  <c r="AA20" i="21"/>
  <c r="V20" i="17"/>
  <c r="BC20" i="16"/>
  <c r="AE20" i="11"/>
  <c r="AB20" i="11"/>
  <c r="U20" i="21"/>
  <c r="I20" i="17"/>
  <c r="AH20" i="16"/>
  <c r="AE20" i="16"/>
  <c r="AR20" i="21"/>
  <c r="U20" i="17"/>
  <c r="K20" i="17"/>
  <c r="AY20" i="16"/>
  <c r="AS20" i="21"/>
  <c r="AZ20" i="16"/>
  <c r="O20" i="16"/>
  <c r="E20" i="21"/>
  <c r="AY20" i="21"/>
  <c r="M20" i="21"/>
  <c r="AC20" i="16"/>
  <c r="V20" i="11"/>
  <c r="AS20" i="17"/>
  <c r="BA20" i="16"/>
  <c r="K20" i="21"/>
  <c r="W20" i="17"/>
  <c r="T20" i="17"/>
  <c r="J20" i="17"/>
  <c r="BD20" i="21"/>
  <c r="E20" i="16"/>
  <c r="BQ20" i="16"/>
  <c r="AI20" i="17"/>
  <c r="AF20" i="21"/>
  <c r="AZ20" i="11"/>
  <c r="AF20" i="17"/>
  <c r="BG20" i="16"/>
  <c r="AN20" i="16"/>
  <c r="AT20" i="17"/>
  <c r="AO20" i="21"/>
  <c r="AH20" i="11"/>
  <c r="AY20" i="11"/>
  <c r="W20" i="16"/>
  <c r="Z20" i="16"/>
  <c r="AA20" i="11"/>
  <c r="AH20" i="17"/>
  <c r="E20" i="12"/>
  <c r="AB20" i="16"/>
  <c r="AJ20" i="17"/>
  <c r="R20" i="17"/>
  <c r="X20" i="11"/>
  <c r="AL20" i="21"/>
  <c r="AI20" i="16"/>
  <c r="AN20" i="21"/>
  <c r="P20" i="16"/>
  <c r="Y20" i="17"/>
  <c r="D20" i="12"/>
  <c r="Z20" i="11"/>
  <c r="AK20" i="21"/>
  <c r="BE20" i="16"/>
  <c r="N20" i="11"/>
  <c r="O20" i="21"/>
  <c r="AD20" i="11"/>
  <c r="V20" i="21"/>
  <c r="M20" i="17"/>
  <c r="AX20" i="16"/>
  <c r="AB20" i="21"/>
  <c r="J20" i="11"/>
  <c r="AA20" i="16"/>
  <c r="AL20" i="16"/>
  <c r="P20" i="11"/>
  <c r="AN20" i="11"/>
  <c r="AI20" i="21"/>
  <c r="S20" i="21"/>
  <c r="AM20" i="16"/>
  <c r="E20" i="11"/>
  <c r="AR20" i="11"/>
  <c r="BC20" i="21"/>
  <c r="Y20" i="16"/>
  <c r="V20" i="16"/>
  <c r="K20" i="12"/>
  <c r="AG20" i="16"/>
  <c r="U20" i="16"/>
  <c r="M20" i="11"/>
  <c r="E20" i="17"/>
  <c r="AI20" i="11"/>
  <c r="AD20" i="16"/>
  <c r="Z20" i="17"/>
  <c r="AG20" i="21"/>
  <c r="F20" i="12"/>
  <c r="AE20" i="17"/>
  <c r="R20" i="11"/>
  <c r="H20" i="21"/>
  <c r="AR20" i="20"/>
  <c r="Q20" i="16"/>
  <c r="Y20" i="11"/>
  <c r="K20" i="16"/>
  <c r="Q20" i="11"/>
  <c r="AG20" i="17"/>
  <c r="P20" i="17"/>
  <c r="U20" i="11"/>
  <c r="X20" i="21"/>
  <c r="AH20" i="21"/>
  <c r="BH13" i="11" l="1"/>
  <c r="BW21" i="20"/>
  <c r="BU21" i="17"/>
  <c r="Q12" i="11"/>
  <c r="Q16" i="11"/>
  <c r="P16" i="11"/>
  <c r="U19" i="17"/>
  <c r="U13" i="17"/>
  <c r="R18" i="20"/>
  <c r="R19" i="20" s="1"/>
  <c r="BJ18" i="11"/>
  <c r="BL18" i="11"/>
  <c r="V18" i="20"/>
  <c r="V19" i="20"/>
  <c r="BH18" i="11"/>
  <c r="BH19" i="11" s="1"/>
  <c r="V12" i="14"/>
  <c r="V13" i="14" s="1"/>
  <c r="V19" i="14" s="1"/>
  <c r="S13" i="14"/>
  <c r="S19" i="14" s="1"/>
  <c r="P17" i="11"/>
  <c r="AZ13" i="11"/>
  <c r="AZ19" i="11"/>
  <c r="BK13" i="11"/>
  <c r="BK19" i="11" s="1"/>
  <c r="P9" i="11"/>
  <c r="Q9" i="11"/>
  <c r="P15" i="11"/>
  <c r="BF18" i="11"/>
  <c r="BD19" i="13"/>
  <c r="BE19" i="13"/>
  <c r="AA18" i="16"/>
  <c r="Q19" i="16"/>
  <c r="AM19" i="16"/>
  <c r="AW19" i="16"/>
  <c r="D13" i="2"/>
  <c r="E13" i="6"/>
  <c r="AO13" i="11"/>
  <c r="F13" i="11"/>
  <c r="G13" i="12" s="1"/>
  <c r="G21" i="12" s="1"/>
  <c r="C19" i="5"/>
  <c r="AC19" i="16"/>
  <c r="Y19" i="17"/>
  <c r="F21" i="12"/>
  <c r="W21" i="11"/>
  <c r="D18" i="6"/>
  <c r="AF19" i="16"/>
  <c r="AC18" i="11"/>
  <c r="AC19" i="11" s="1"/>
  <c r="AB21" i="16"/>
  <c r="AQ18" i="11"/>
  <c r="AN19" i="17"/>
  <c r="E19" i="14"/>
  <c r="W19" i="16"/>
  <c r="H19" i="12"/>
  <c r="AE19" i="20"/>
  <c r="Y21" i="20"/>
  <c r="AW19" i="20"/>
  <c r="AM19" i="20"/>
  <c r="AK19" i="17"/>
  <c r="AE19" i="17"/>
  <c r="AP21" i="17"/>
  <c r="AA19" i="17"/>
  <c r="AH19" i="17"/>
  <c r="F13" i="16"/>
  <c r="BL13" i="16" s="1"/>
  <c r="N19" i="16"/>
  <c r="AX19" i="16"/>
  <c r="AZ19" i="16"/>
  <c r="BA21" i="16"/>
  <c r="BA19" i="16"/>
  <c r="BE19" i="16"/>
  <c r="BP19" i="16"/>
  <c r="AB19" i="16"/>
  <c r="AY19" i="16"/>
  <c r="AR19" i="16"/>
  <c r="F18" i="16"/>
  <c r="Y19" i="11"/>
  <c r="BI13" i="11"/>
  <c r="BI19" i="11" s="1"/>
  <c r="H21" i="11"/>
  <c r="AT20" i="21"/>
  <c r="BL20" i="16"/>
  <c r="AQ20" i="11"/>
  <c r="AQ20" i="17"/>
  <c r="AP20" i="11"/>
  <c r="AY19" i="11"/>
  <c r="AL21" i="11"/>
  <c r="G19" i="2"/>
  <c r="Y19" i="16"/>
  <c r="I18" i="12"/>
  <c r="BE21" i="16"/>
  <c r="I21" i="21"/>
  <c r="AP19" i="21"/>
  <c r="D19" i="7"/>
  <c r="AO19" i="17"/>
  <c r="F19" i="12"/>
  <c r="BH19" i="16"/>
  <c r="P19" i="16"/>
  <c r="AG19" i="17"/>
  <c r="AP21" i="21"/>
  <c r="S13" i="17"/>
  <c r="AV19" i="16"/>
  <c r="AQ21" i="21"/>
  <c r="AJ19" i="17"/>
  <c r="B19" i="2"/>
  <c r="F19" i="2" s="1"/>
  <c r="B19" i="3"/>
  <c r="AD19" i="11"/>
  <c r="AP18" i="11"/>
  <c r="G21" i="16"/>
  <c r="G13" i="3"/>
  <c r="F19" i="3"/>
  <c r="I16" i="12"/>
  <c r="I13" i="3"/>
  <c r="H19" i="3"/>
  <c r="K11" i="12"/>
  <c r="T19" i="17"/>
  <c r="AP21" i="20"/>
  <c r="AC19" i="21"/>
  <c r="F21" i="21"/>
  <c r="AJ19" i="21"/>
  <c r="AJ21" i="21"/>
  <c r="I21" i="20"/>
  <c r="AD19" i="20"/>
  <c r="BG13" i="11"/>
  <c r="E19" i="12"/>
  <c r="BG19" i="16"/>
  <c r="C19" i="7"/>
  <c r="BI19" i="16"/>
  <c r="AF19" i="17"/>
  <c r="AF21" i="17"/>
  <c r="AM21" i="17"/>
  <c r="AM19" i="17"/>
  <c r="T18" i="20"/>
  <c r="T19" i="20" s="1"/>
  <c r="BF13" i="11"/>
  <c r="BF19" i="11" s="1"/>
  <c r="AO21" i="17"/>
  <c r="BL13" i="11"/>
  <c r="BL19" i="11" s="1"/>
  <c r="J10" i="12"/>
  <c r="AF21" i="11"/>
  <c r="AU19" i="16"/>
  <c r="AU21" i="16"/>
  <c r="AL19" i="17"/>
  <c r="AL21" i="17"/>
  <c r="AT21" i="16"/>
  <c r="AT19" i="16"/>
  <c r="P10" i="11"/>
  <c r="BM13" i="11"/>
  <c r="AR19" i="11"/>
  <c r="AV19" i="21"/>
  <c r="AR19" i="17"/>
  <c r="BF19" i="16"/>
  <c r="G20" i="16"/>
  <c r="BG18" i="8"/>
  <c r="BB19" i="8"/>
  <c r="AK21" i="11"/>
  <c r="N13" i="11"/>
  <c r="AP19" i="17"/>
  <c r="AR19" i="21"/>
  <c r="BJ19" i="16"/>
  <c r="E13" i="3"/>
  <c r="BI13" i="16"/>
  <c r="BI21" i="16" s="1"/>
  <c r="AN13" i="11"/>
  <c r="AN21" i="11" s="1"/>
  <c r="D13" i="6"/>
  <c r="J13" i="12" s="1"/>
  <c r="J13" i="7"/>
  <c r="AQ13" i="20"/>
  <c r="AQ21" i="20" s="1"/>
  <c r="D19" i="3"/>
  <c r="G19" i="12"/>
  <c r="E19" i="7"/>
  <c r="I13" i="7"/>
  <c r="I13" i="12"/>
  <c r="U13" i="21"/>
  <c r="U19" i="21" s="1"/>
  <c r="I21" i="17"/>
  <c r="I19" i="17"/>
  <c r="G20" i="17"/>
  <c r="G19" i="17"/>
  <c r="G21" i="17"/>
  <c r="AQ18" i="17"/>
  <c r="R19" i="17"/>
  <c r="AZ19" i="8"/>
  <c r="BD13" i="8"/>
  <c r="H13" i="7" s="1"/>
  <c r="BG13" i="8"/>
  <c r="BA19" i="8"/>
  <c r="BD18" i="8"/>
  <c r="H18" i="7" s="1"/>
  <c r="V18" i="16"/>
  <c r="Q11" i="11"/>
  <c r="P11" i="11"/>
  <c r="BM18" i="11"/>
  <c r="BM19" i="11" s="1"/>
  <c r="BH21" i="16"/>
  <c r="AS18" i="20"/>
  <c r="AJ19" i="11"/>
  <c r="AX19" i="20"/>
  <c r="BJ13" i="11"/>
  <c r="BJ19" i="11" s="1"/>
  <c r="AS21" i="16"/>
  <c r="AS19" i="16"/>
  <c r="BD19" i="19"/>
  <c r="BF19" i="19"/>
  <c r="K19" i="11"/>
  <c r="V13" i="16"/>
  <c r="BU21" i="16"/>
  <c r="BU19" i="16"/>
  <c r="F13" i="17"/>
  <c r="F21" i="17" s="1"/>
  <c r="AQ9" i="17"/>
  <c r="AQ13" i="17" s="1"/>
  <c r="I19" i="16"/>
  <c r="I21" i="16"/>
  <c r="BC21" i="16"/>
  <c r="BC19" i="16"/>
  <c r="AY19" i="13"/>
  <c r="BG19" i="13" s="1"/>
  <c r="BG18" i="13"/>
  <c r="N19" i="17"/>
  <c r="AA13" i="21"/>
  <c r="F19" i="20"/>
  <c r="L19" i="20"/>
  <c r="J19" i="17"/>
  <c r="BF18" i="8"/>
  <c r="J18" i="7" s="1"/>
  <c r="C13" i="14"/>
  <c r="BE19" i="19"/>
  <c r="AE21" i="11"/>
  <c r="Q17" i="11"/>
  <c r="BG18" i="11"/>
  <c r="R19" i="16"/>
  <c r="BM19" i="16" s="1"/>
  <c r="J19" i="16"/>
  <c r="J21" i="16"/>
  <c r="AA13" i="16"/>
  <c r="AT13" i="21"/>
  <c r="AT21" i="21" s="1"/>
  <c r="AR21" i="21" s="1"/>
  <c r="S18" i="17"/>
  <c r="BC19" i="8"/>
  <c r="K9" i="14"/>
  <c r="C18" i="14"/>
  <c r="Y19" i="14"/>
  <c r="AB19" i="14"/>
  <c r="R19" i="14"/>
  <c r="AC19" i="14"/>
  <c r="X19" i="14"/>
  <c r="M19" i="14"/>
  <c r="Z19" i="14"/>
  <c r="W19" i="14"/>
  <c r="AD19" i="14"/>
  <c r="V18" i="11"/>
  <c r="AA19" i="14"/>
  <c r="H19" i="14"/>
  <c r="BM20" i="16"/>
  <c r="O12" i="11"/>
  <c r="I20" i="12"/>
  <c r="BD19" i="8" l="1"/>
  <c r="V19" i="16"/>
  <c r="BG19" i="11"/>
  <c r="G19" i="3"/>
  <c r="BV21" i="16"/>
  <c r="BV19" i="16"/>
  <c r="Q13" i="11"/>
  <c r="F21" i="11"/>
  <c r="BG19" i="8"/>
  <c r="H19" i="2"/>
  <c r="AO21" i="11"/>
  <c r="I19" i="3"/>
  <c r="J19" i="2"/>
  <c r="S19" i="17"/>
  <c r="F19" i="11"/>
  <c r="AQ19" i="11" s="1"/>
  <c r="AQ13" i="11"/>
  <c r="AQ21" i="11" s="1"/>
  <c r="F19" i="17"/>
  <c r="AQ19" i="17" s="1"/>
  <c r="F21" i="16"/>
  <c r="E19" i="6"/>
  <c r="C19" i="6"/>
  <c r="AO19" i="11"/>
  <c r="AM19" i="11"/>
  <c r="B19" i="6"/>
  <c r="H19" i="7" s="1"/>
  <c r="AL19" i="11"/>
  <c r="BL18" i="16"/>
  <c r="F19" i="16"/>
  <c r="E21" i="21"/>
  <c r="E19" i="21"/>
  <c r="AW21" i="20"/>
  <c r="AS21" i="20"/>
  <c r="AR21" i="20" s="1"/>
  <c r="AV21" i="11"/>
  <c r="C19" i="14"/>
  <c r="BF19" i="8"/>
  <c r="Z19" i="21"/>
  <c r="M19" i="16"/>
  <c r="AM21" i="11"/>
  <c r="U19" i="20"/>
  <c r="K19" i="20"/>
  <c r="AS19" i="20" s="1"/>
  <c r="BT21" i="16"/>
  <c r="BT19" i="16"/>
  <c r="E19" i="3"/>
  <c r="AN19" i="11"/>
  <c r="D19" i="6"/>
  <c r="J19" i="21"/>
  <c r="AT19" i="21" s="1"/>
  <c r="BE19" i="8"/>
  <c r="J18" i="12"/>
  <c r="K13" i="7"/>
  <c r="K13" i="12"/>
  <c r="N19" i="11"/>
  <c r="AA21" i="21"/>
  <c r="Z21" i="21"/>
  <c r="I21" i="12"/>
  <c r="K18" i="7"/>
  <c r="K18" i="12"/>
  <c r="E21" i="16"/>
  <c r="K19" i="12" l="1"/>
  <c r="S19" i="11"/>
  <c r="T19" i="11" s="1"/>
  <c r="T21" i="11"/>
  <c r="I19" i="7"/>
  <c r="AV19" i="11"/>
  <c r="I19" i="12"/>
  <c r="K19" i="7"/>
  <c r="K21" i="12"/>
  <c r="W19" i="20"/>
  <c r="W21" i="20"/>
  <c r="E19" i="20"/>
  <c r="X19" i="20"/>
  <c r="BS19" i="16"/>
  <c r="BQ21" i="16"/>
  <c r="AT21" i="11"/>
  <c r="AT19" i="11"/>
  <c r="J21" i="12"/>
  <c r="AA19" i="21"/>
  <c r="AS19" i="11"/>
  <c r="AS21" i="11"/>
  <c r="P19" i="11"/>
  <c r="Q19" i="11"/>
  <c r="X21" i="20"/>
  <c r="E21" i="11"/>
  <c r="S21" i="11"/>
  <c r="E19" i="16"/>
  <c r="Z21" i="16"/>
  <c r="Z19" i="16"/>
  <c r="J19" i="7"/>
  <c r="J19" i="12"/>
  <c r="L19" i="16" l="1"/>
  <c r="BL19" i="16" s="1"/>
  <c r="E21" i="20"/>
  <c r="BQ19" i="16"/>
  <c r="BL21" i="16"/>
  <c r="BJ21" i="16" s="1"/>
  <c r="W19" i="17"/>
  <c r="W21" i="17"/>
  <c r="AU19" i="11"/>
  <c r="AP19" i="11" s="1"/>
  <c r="AA19" i="16"/>
  <c r="AA21" i="16"/>
  <c r="E19" i="11"/>
  <c r="AU21" i="11" l="1"/>
  <c r="AP21" i="11"/>
  <c r="X19" i="17"/>
  <c r="X21" i="17"/>
</calcChain>
</file>

<file path=xl/comments1.xml><?xml version="1.0" encoding="utf-8"?>
<comments xmlns="http://schemas.openxmlformats.org/spreadsheetml/2006/main">
  <authors>
    <author>ALAMO</author>
    <author>Jose Manuel hernandez</author>
    <author>juanjo</author>
    <author>cgpj</author>
    <author>Diez Rodriguez, Susana</author>
    <author>Administrador</author>
    <author>SANCHEZ-JJ</author>
    <author>Juan José Sánchez Guevara</author>
  </authors>
  <commentList>
    <comment ref="I5" authorId="0" shapeId="0">
      <text>
        <r>
          <rPr>
            <sz val="8"/>
            <color indexed="81"/>
            <rFont val="Tahoma"/>
            <family val="2"/>
          </rPr>
          <t xml:space="preserve">Listado de valores obtenidos de Base de Datos. Son el soporte para la realización de cáculos
</t>
        </r>
      </text>
    </comment>
    <comment ref="D8" authorId="1" shapeId="0">
      <text>
        <r>
          <rPr>
            <b/>
            <sz val="8"/>
            <color indexed="81"/>
            <rFont val="Tahoma"/>
            <family val="2"/>
          </rPr>
          <t>C</t>
        </r>
      </text>
    </comment>
    <comment ref="D9" authorId="2" shapeId="0">
      <text>
        <r>
          <rPr>
            <b/>
            <sz val="8"/>
            <color indexed="81"/>
            <rFont val="Tahoma"/>
            <family val="2"/>
          </rPr>
          <t>C</t>
        </r>
      </text>
    </comment>
    <comment ref="E9" authorId="3" shapeId="0">
      <text>
        <r>
          <rPr>
            <b/>
            <sz val="8"/>
            <color indexed="81"/>
            <rFont val="Tahoma"/>
            <family val="2"/>
          </rPr>
          <t>52,,
34,,</t>
        </r>
      </text>
    </comment>
    <comment ref="H9" authorId="0" shapeId="0">
      <text>
        <r>
          <rPr>
            <sz val="8"/>
            <color indexed="81"/>
            <rFont val="Tahoma"/>
            <family val="2"/>
          </rPr>
          <t xml:space="preserve">NO borrar este comentario necesario para el funcionamiento.
Negación de inclusión
</t>
        </r>
      </text>
    </comment>
    <comment ref="BZ9" authorId="1" shapeId="0">
      <text>
        <r>
          <rPr>
            <sz val="8"/>
            <color indexed="81"/>
            <rFont val="Tahoma"/>
            <family val="2"/>
          </rPr>
          <t xml:space="preserve">Residuales de Penal en juzgado especializado </t>
        </r>
        <r>
          <rPr>
            <sz val="8"/>
            <color indexed="81"/>
            <rFont val="Tahoma"/>
            <family val="2"/>
          </rPr>
          <t xml:space="preserve">
</t>
        </r>
      </text>
    </comment>
    <comment ref="C10" authorId="1" shapeId="0">
      <text>
        <r>
          <rPr>
            <b/>
            <sz val="8"/>
            <color indexed="81"/>
            <rFont val="Tahoma"/>
            <family val="2"/>
          </rPr>
          <t>C</t>
        </r>
      </text>
    </comment>
    <comment ref="D10" authorId="2" shapeId="0">
      <text>
        <r>
          <rPr>
            <b/>
            <sz val="8"/>
            <color indexed="81"/>
            <rFont val="Tahoma"/>
            <family val="2"/>
          </rPr>
          <t>C</t>
        </r>
      </text>
    </comment>
    <comment ref="AP10" authorId="0" shapeId="0">
      <text>
        <r>
          <rPr>
            <sz val="8"/>
            <color indexed="81"/>
            <rFont val="Tahoma"/>
            <family val="2"/>
          </rPr>
          <t>UNICAAPORTACION</t>
        </r>
      </text>
    </comment>
    <comment ref="D11" authorId="2" shapeId="0">
      <text>
        <r>
          <rPr>
            <b/>
            <sz val="8"/>
            <color indexed="81"/>
            <rFont val="Tahoma"/>
            <family val="2"/>
          </rPr>
          <t>C</t>
        </r>
      </text>
    </comment>
    <comment ref="BZ11" authorId="1" shapeId="0">
      <text>
        <r>
          <rPr>
            <sz val="8"/>
            <color indexed="81"/>
            <rFont val="Tahoma"/>
            <family val="2"/>
          </rPr>
          <t>Residuales asuntos civiles no de familia</t>
        </r>
      </text>
    </comment>
    <comment ref="D12" authorId="2" shapeId="0">
      <text>
        <r>
          <rPr>
            <b/>
            <sz val="8"/>
            <color indexed="81"/>
            <rFont val="Tahoma"/>
            <family val="2"/>
          </rPr>
          <t>C</t>
        </r>
      </text>
    </comment>
    <comment ref="E12" authorId="0" shapeId="0">
      <text>
        <r>
          <rPr>
            <b/>
            <sz val="8"/>
            <color indexed="81"/>
            <rFont val="Tahoma"/>
            <family val="2"/>
          </rPr>
          <t>33,,
22,,</t>
        </r>
      </text>
    </comment>
    <comment ref="D13" authorId="4" shapeId="0">
      <text>
        <r>
          <rPr>
            <b/>
            <sz val="9"/>
            <color indexed="81"/>
            <rFont val="Tahoma"/>
            <family val="2"/>
          </rPr>
          <t>C</t>
        </r>
      </text>
    </comment>
    <comment ref="D14" authorId="1" shapeId="0">
      <text>
        <r>
          <rPr>
            <b/>
            <sz val="8"/>
            <color indexed="81"/>
            <rFont val="Tahoma"/>
            <family val="2"/>
          </rPr>
          <t>P</t>
        </r>
      </text>
    </comment>
    <comment ref="D15" authorId="2" shapeId="0">
      <text>
        <r>
          <rPr>
            <b/>
            <sz val="8"/>
            <color indexed="81"/>
            <rFont val="Tahoma"/>
            <family val="2"/>
          </rPr>
          <t>P</t>
        </r>
      </text>
    </comment>
    <comment ref="AS15" authorId="5" shapeId="0">
      <text>
        <r>
          <rPr>
            <b/>
            <sz val="8"/>
            <color indexed="81"/>
            <rFont val="Tahoma"/>
            <family val="2"/>
          </rPr>
          <t>Diligencias Previas</t>
        </r>
      </text>
    </comment>
    <comment ref="AT15" authorId="5" shapeId="0">
      <text>
        <r>
          <rPr>
            <b/>
            <sz val="8"/>
            <color indexed="81"/>
            <rFont val="Tahoma"/>
            <family val="2"/>
          </rPr>
          <t>Delitos Leves</t>
        </r>
      </text>
    </comment>
    <comment ref="AU15" authorId="6" shapeId="0">
      <text>
        <r>
          <rPr>
            <b/>
            <sz val="8"/>
            <color indexed="81"/>
            <rFont val="Tahoma"/>
            <family val="2"/>
          </rPr>
          <t>Resueltos Diligencias Previas</t>
        </r>
      </text>
    </comment>
    <comment ref="AV15" authorId="6" shapeId="0">
      <text>
        <r>
          <rPr>
            <b/>
            <sz val="8"/>
            <color indexed="81"/>
            <rFont val="Tahoma"/>
            <family val="2"/>
          </rPr>
          <t>Resueltos Delitos Leves</t>
        </r>
        <r>
          <rPr>
            <sz val="8"/>
            <color indexed="81"/>
            <rFont val="Tahoma"/>
            <family val="2"/>
          </rPr>
          <t xml:space="preserve">
</t>
        </r>
      </text>
    </comment>
    <comment ref="AW15" authorId="6" shapeId="0">
      <text>
        <r>
          <rPr>
            <b/>
            <sz val="8"/>
            <color indexed="81"/>
            <rFont val="Tahoma"/>
            <family val="2"/>
          </rPr>
          <t>Pendientes Diligencias Previas</t>
        </r>
      </text>
    </comment>
    <comment ref="AX15" authorId="6" shapeId="0">
      <text>
        <r>
          <rPr>
            <b/>
            <sz val="8"/>
            <color indexed="81"/>
            <rFont val="Tahoma"/>
            <family val="2"/>
          </rPr>
          <t>Pendientes Delitos Leves</t>
        </r>
      </text>
    </comment>
    <comment ref="BZ15" authorId="1" shapeId="0">
      <text>
        <r>
          <rPr>
            <sz val="8"/>
            <color indexed="81"/>
            <rFont val="Tahoma"/>
            <family val="2"/>
          </rPr>
          <t xml:space="preserve">Residuales de Civil  en juzgado especializado </t>
        </r>
      </text>
    </comment>
    <comment ref="D16" authorId="2" shapeId="0">
      <text>
        <r>
          <rPr>
            <b/>
            <sz val="8"/>
            <color indexed="81"/>
            <rFont val="Tahoma"/>
            <family val="2"/>
          </rPr>
          <t>P</t>
        </r>
      </text>
    </comment>
    <comment ref="E16" authorId="0" shapeId="0">
      <text>
        <r>
          <rPr>
            <b/>
            <sz val="8"/>
            <color indexed="81"/>
            <rFont val="Tahoma"/>
            <family val="2"/>
          </rPr>
          <t>32,,
22,,</t>
        </r>
      </text>
    </comment>
    <comment ref="AO16" authorId="0" shapeId="0">
      <text>
        <r>
          <rPr>
            <b/>
            <sz val="8"/>
            <color indexed="81"/>
            <rFont val="Tahoma"/>
            <family val="2"/>
          </rPr>
          <t>NOSUMA</t>
        </r>
        <r>
          <rPr>
            <sz val="8"/>
            <color indexed="81"/>
            <rFont val="Tahoma"/>
            <family val="2"/>
          </rPr>
          <t xml:space="preserve">
</t>
        </r>
      </text>
    </comment>
    <comment ref="C17" authorId="1" shapeId="0">
      <text>
        <r>
          <rPr>
            <b/>
            <sz val="8"/>
            <color indexed="81"/>
            <rFont val="Tahoma"/>
            <family val="2"/>
          </rPr>
          <t>P</t>
        </r>
      </text>
    </comment>
    <comment ref="D17" authorId="2" shapeId="0">
      <text>
        <r>
          <rPr>
            <b/>
            <sz val="8"/>
            <color indexed="81"/>
            <rFont val="Tahoma"/>
            <family val="2"/>
          </rPr>
          <t>P</t>
        </r>
      </text>
    </comment>
    <comment ref="AO17" authorId="3" shapeId="0">
      <text>
        <r>
          <rPr>
            <b/>
            <sz val="8"/>
            <color indexed="81"/>
            <rFont val="Tahoma"/>
            <family val="2"/>
          </rPr>
          <t>NOSUMA</t>
        </r>
      </text>
    </comment>
    <comment ref="AP17" authorId="0" shapeId="0">
      <text>
        <r>
          <rPr>
            <sz val="8"/>
            <color indexed="81"/>
            <rFont val="Tahoma"/>
            <family val="2"/>
          </rPr>
          <t>UNICAAPORTACION</t>
        </r>
      </text>
    </comment>
    <comment ref="AS17" authorId="7" shapeId="0">
      <text>
        <r>
          <rPr>
            <b/>
            <sz val="8"/>
            <color indexed="81"/>
            <rFont val="Tahoma"/>
            <family val="2"/>
          </rPr>
          <t>Ingresados+procedentes de otros órganos+reabiertos de Diligencias Urgentes</t>
        </r>
      </text>
    </comment>
    <comment ref="AT17" authorId="7" shapeId="0">
      <text>
        <r>
          <rPr>
            <b/>
            <sz val="8"/>
            <color indexed="81"/>
            <rFont val="Tahoma"/>
            <family val="2"/>
          </rPr>
          <t>Ingresados+Procedentes otros órganos+Reabiertos de Diligencias Previas</t>
        </r>
      </text>
    </comment>
    <comment ref="AU17" authorId="6" shapeId="0">
      <text>
        <r>
          <rPr>
            <b/>
            <sz val="8"/>
            <color indexed="81"/>
            <rFont val="Tahoma"/>
            <family val="2"/>
          </rPr>
          <t>Resueltos Diligencias Urgentes</t>
        </r>
      </text>
    </comment>
    <comment ref="AV17" authorId="6" shapeId="0">
      <text>
        <r>
          <rPr>
            <b/>
            <sz val="8"/>
            <color indexed="81"/>
            <rFont val="Tahoma"/>
            <family val="2"/>
          </rPr>
          <t>Resueltos Diligencias Previas</t>
        </r>
      </text>
    </comment>
    <comment ref="AW17" authorId="6" shapeId="0">
      <text>
        <r>
          <rPr>
            <b/>
            <sz val="8"/>
            <color indexed="81"/>
            <rFont val="Tahoma"/>
            <family val="2"/>
          </rPr>
          <t>Pendientes Diligencias Urgentes</t>
        </r>
      </text>
    </comment>
    <comment ref="AX17" authorId="6" shapeId="0">
      <text>
        <r>
          <rPr>
            <b/>
            <sz val="8"/>
            <color indexed="81"/>
            <rFont val="Tahoma"/>
            <family val="2"/>
          </rPr>
          <t>Pendientes Diligencias Previas</t>
        </r>
      </text>
    </comment>
    <comment ref="D18" authorId="4" shapeId="0">
      <text>
        <r>
          <rPr>
            <b/>
            <sz val="9"/>
            <color indexed="81"/>
            <rFont val="Tahoma"/>
            <family val="2"/>
          </rPr>
          <t>P</t>
        </r>
      </text>
    </comment>
  </commentList>
</comments>
</file>

<file path=xl/comments2.xml><?xml version="1.0" encoding="utf-8"?>
<comments xmlns="http://schemas.openxmlformats.org/spreadsheetml/2006/main">
  <authors>
    <author>ALAMO</author>
    <author>Jose Manuel hernandez</author>
    <author>juanjo</author>
    <author>cgpj</author>
    <author>Diez Rodriguez, Susana</author>
    <author>Administrador</author>
    <author>SANCHEZ-JJ</author>
    <author>Juan José Sánchez Guevara</author>
  </authors>
  <commentList>
    <comment ref="I5" authorId="0" shapeId="0">
      <text>
        <r>
          <rPr>
            <sz val="8"/>
            <color indexed="81"/>
            <rFont val="Tahoma"/>
            <family val="2"/>
          </rPr>
          <t xml:space="preserve">Listado de valores obtenidos de Base de Datos. Son el soporte para la realización de cáculos
</t>
        </r>
      </text>
    </comment>
    <comment ref="D8" authorId="1" shapeId="0">
      <text>
        <r>
          <rPr>
            <b/>
            <sz val="8"/>
            <color indexed="81"/>
            <rFont val="Tahoma"/>
            <family val="2"/>
          </rPr>
          <t>C</t>
        </r>
      </text>
    </comment>
    <comment ref="D9" authorId="2" shapeId="0">
      <text>
        <r>
          <rPr>
            <b/>
            <sz val="8"/>
            <color indexed="81"/>
            <rFont val="Tahoma"/>
            <family val="2"/>
          </rPr>
          <t>C</t>
        </r>
      </text>
    </comment>
    <comment ref="E9" authorId="3" shapeId="0">
      <text>
        <r>
          <rPr>
            <b/>
            <sz val="8"/>
            <color indexed="81"/>
            <rFont val="Tahoma"/>
            <family val="2"/>
          </rPr>
          <t>52,,
34,,</t>
        </r>
      </text>
    </comment>
    <comment ref="H9" authorId="0" shapeId="0">
      <text>
        <r>
          <rPr>
            <sz val="8"/>
            <color indexed="81"/>
            <rFont val="Tahoma"/>
            <family val="2"/>
          </rPr>
          <t xml:space="preserve">NO borrar este comentario necesario para el funcionamiento.
Negación de inclusión
</t>
        </r>
      </text>
    </comment>
    <comment ref="BZ9" authorId="1" shapeId="0">
      <text>
        <r>
          <rPr>
            <sz val="8"/>
            <color indexed="81"/>
            <rFont val="Tahoma"/>
            <family val="2"/>
          </rPr>
          <t xml:space="preserve">Residuales de Penal en juzgado especializado </t>
        </r>
        <r>
          <rPr>
            <sz val="8"/>
            <color indexed="81"/>
            <rFont val="Tahoma"/>
            <family val="2"/>
          </rPr>
          <t xml:space="preserve">
</t>
        </r>
      </text>
    </comment>
    <comment ref="CR9" authorId="1" shapeId="0">
      <text>
        <r>
          <rPr>
            <b/>
            <sz val="8"/>
            <color indexed="81"/>
            <rFont val="Tahoma"/>
            <family val="2"/>
          </rPr>
          <t>Residuales penal</t>
        </r>
      </text>
    </comment>
    <comment ref="DC9" authorId="1" shapeId="0">
      <text>
        <r>
          <rPr>
            <b/>
            <sz val="8"/>
            <color indexed="81"/>
            <rFont val="Tahoma"/>
            <family val="2"/>
          </rPr>
          <t>Entrada sin ponderar: Se usa para pendientes al inicio y calculo de variación de pend.</t>
        </r>
      </text>
    </comment>
    <comment ref="C10" authorId="1" shapeId="0">
      <text>
        <r>
          <rPr>
            <b/>
            <sz val="8"/>
            <color indexed="81"/>
            <rFont val="Tahoma"/>
            <family val="2"/>
          </rPr>
          <t>C</t>
        </r>
      </text>
    </comment>
    <comment ref="D10" authorId="2" shapeId="0">
      <text>
        <r>
          <rPr>
            <b/>
            <sz val="8"/>
            <color indexed="81"/>
            <rFont val="Tahoma"/>
            <family val="2"/>
          </rPr>
          <t>C</t>
        </r>
      </text>
    </comment>
    <comment ref="AP10" authorId="0" shapeId="0">
      <text>
        <r>
          <rPr>
            <sz val="8"/>
            <color indexed="81"/>
            <rFont val="Tahoma"/>
            <family val="2"/>
          </rPr>
          <t>UNICAAPORTACION</t>
        </r>
      </text>
    </comment>
    <comment ref="D11" authorId="2" shapeId="0">
      <text>
        <r>
          <rPr>
            <b/>
            <sz val="8"/>
            <color indexed="81"/>
            <rFont val="Tahoma"/>
            <family val="2"/>
          </rPr>
          <t>C</t>
        </r>
      </text>
    </comment>
    <comment ref="BZ11" authorId="1" shapeId="0">
      <text>
        <r>
          <rPr>
            <sz val="8"/>
            <color indexed="81"/>
            <rFont val="Tahoma"/>
            <family val="2"/>
          </rPr>
          <t>Residuales asuntos civiles no de familia</t>
        </r>
      </text>
    </comment>
    <comment ref="CR11" authorId="1" shapeId="0">
      <text>
        <r>
          <rPr>
            <b/>
            <sz val="8"/>
            <color indexed="81"/>
            <rFont val="Tahoma"/>
            <family val="2"/>
          </rPr>
          <t>Residuales civil sin familia</t>
        </r>
      </text>
    </comment>
    <comment ref="DC11" authorId="1" shapeId="0">
      <text>
        <r>
          <rPr>
            <b/>
            <sz val="8"/>
            <color indexed="81"/>
            <rFont val="Tahoma"/>
            <family val="2"/>
          </rPr>
          <t>Entrada sin ponderar: Se usa para pendientes la inicio y calculo de variación de pend.</t>
        </r>
      </text>
    </comment>
    <comment ref="D12" authorId="2" shapeId="0">
      <text>
        <r>
          <rPr>
            <b/>
            <sz val="8"/>
            <color indexed="81"/>
            <rFont val="Tahoma"/>
            <family val="2"/>
          </rPr>
          <t>C</t>
        </r>
      </text>
    </comment>
    <comment ref="E12" authorId="0" shapeId="0">
      <text>
        <r>
          <rPr>
            <b/>
            <sz val="8"/>
            <color indexed="81"/>
            <rFont val="Tahoma"/>
            <family val="2"/>
          </rPr>
          <t>33,,
22,,</t>
        </r>
      </text>
    </comment>
    <comment ref="DC12" authorId="1" shapeId="0">
      <text>
        <r>
          <rPr>
            <b/>
            <sz val="8"/>
            <color indexed="81"/>
            <rFont val="Tahoma"/>
            <family val="2"/>
          </rPr>
          <t>Entrada sin ponderar: Se usa para pendientes al inicio y calculo de variación de pend.</t>
        </r>
      </text>
    </comment>
    <comment ref="D13" authorId="4" shapeId="0">
      <text>
        <r>
          <rPr>
            <b/>
            <sz val="9"/>
            <color indexed="81"/>
            <rFont val="Tahoma"/>
            <family val="2"/>
          </rPr>
          <t>C</t>
        </r>
      </text>
    </comment>
    <comment ref="D14" authorId="1" shapeId="0">
      <text>
        <r>
          <rPr>
            <b/>
            <sz val="8"/>
            <color indexed="81"/>
            <rFont val="Tahoma"/>
            <family val="2"/>
          </rPr>
          <t>P</t>
        </r>
      </text>
    </comment>
    <comment ref="D15" authorId="2" shapeId="0">
      <text>
        <r>
          <rPr>
            <b/>
            <sz val="8"/>
            <color indexed="81"/>
            <rFont val="Tahoma"/>
            <family val="2"/>
          </rPr>
          <t>P</t>
        </r>
      </text>
    </comment>
    <comment ref="AS15" authorId="5" shapeId="0">
      <text>
        <r>
          <rPr>
            <b/>
            <sz val="8"/>
            <color indexed="81"/>
            <rFont val="Tahoma"/>
            <family val="2"/>
          </rPr>
          <t>Diligencias Previas</t>
        </r>
      </text>
    </comment>
    <comment ref="AT15" authorId="5" shapeId="0">
      <text>
        <r>
          <rPr>
            <b/>
            <sz val="8"/>
            <color indexed="81"/>
            <rFont val="Tahoma"/>
            <family val="2"/>
          </rPr>
          <t>Delitos Leves</t>
        </r>
      </text>
    </comment>
    <comment ref="AU15" authorId="6" shapeId="0">
      <text>
        <r>
          <rPr>
            <b/>
            <sz val="8"/>
            <color indexed="81"/>
            <rFont val="Tahoma"/>
            <family val="2"/>
          </rPr>
          <t>Resueltos Diligencias Previas</t>
        </r>
      </text>
    </comment>
    <comment ref="AV15" authorId="6" shapeId="0">
      <text>
        <r>
          <rPr>
            <b/>
            <sz val="8"/>
            <color indexed="81"/>
            <rFont val="Tahoma"/>
            <family val="2"/>
          </rPr>
          <t>Resueltos Delitos Leves</t>
        </r>
      </text>
    </comment>
    <comment ref="AW15" authorId="6" shapeId="0">
      <text>
        <r>
          <rPr>
            <b/>
            <sz val="8"/>
            <color indexed="81"/>
            <rFont val="Tahoma"/>
            <family val="2"/>
          </rPr>
          <t>Pendientes Diligencias Previas</t>
        </r>
      </text>
    </comment>
    <comment ref="AX15" authorId="6" shapeId="0">
      <text>
        <r>
          <rPr>
            <b/>
            <sz val="8"/>
            <color indexed="81"/>
            <rFont val="Tahoma"/>
            <family val="2"/>
          </rPr>
          <t>Pendientes Delitos Leves</t>
        </r>
      </text>
    </comment>
    <comment ref="BZ15" authorId="1" shapeId="0">
      <text>
        <r>
          <rPr>
            <sz val="8"/>
            <color indexed="81"/>
            <rFont val="Tahoma"/>
            <family val="2"/>
          </rPr>
          <t xml:space="preserve">Residuales de Civil  en juzgado especializado </t>
        </r>
      </text>
    </comment>
    <comment ref="CR15" authorId="1" shapeId="0">
      <text>
        <r>
          <rPr>
            <b/>
            <sz val="8"/>
            <color indexed="81"/>
            <rFont val="Tahoma"/>
            <family val="2"/>
          </rPr>
          <t>Residuales civil</t>
        </r>
      </text>
    </comment>
    <comment ref="DC15" authorId="1" shapeId="0">
      <text>
        <r>
          <rPr>
            <b/>
            <sz val="8"/>
            <color indexed="81"/>
            <rFont val="Tahoma"/>
            <family val="2"/>
          </rPr>
          <t>Entrada sin ponderar: Se usa para pendientes al inicio y calculo de variación de pend.</t>
        </r>
      </text>
    </comment>
    <comment ref="D16" authorId="2" shapeId="0">
      <text>
        <r>
          <rPr>
            <b/>
            <sz val="8"/>
            <color indexed="81"/>
            <rFont val="Tahoma"/>
            <family val="2"/>
          </rPr>
          <t>P</t>
        </r>
      </text>
    </comment>
    <comment ref="E16" authorId="0" shapeId="0">
      <text>
        <r>
          <rPr>
            <b/>
            <sz val="8"/>
            <color indexed="81"/>
            <rFont val="Tahoma"/>
            <family val="2"/>
          </rPr>
          <t>32,,
22,,</t>
        </r>
      </text>
    </comment>
    <comment ref="AO16" authorId="0" shapeId="0">
      <text>
        <r>
          <rPr>
            <b/>
            <sz val="8"/>
            <color indexed="81"/>
            <rFont val="Tahoma"/>
            <family val="2"/>
          </rPr>
          <t>NOSUMA</t>
        </r>
        <r>
          <rPr>
            <sz val="8"/>
            <color indexed="81"/>
            <rFont val="Tahoma"/>
            <family val="2"/>
          </rPr>
          <t xml:space="preserve">
</t>
        </r>
      </text>
    </comment>
    <comment ref="DC16" authorId="1" shapeId="0">
      <text>
        <r>
          <rPr>
            <b/>
            <sz val="8"/>
            <color indexed="81"/>
            <rFont val="Tahoma"/>
            <family val="2"/>
          </rPr>
          <t>Entrada sin ponderar: Se usa para pendientes al inicio y calculo de variación de pend.</t>
        </r>
      </text>
    </comment>
    <comment ref="C17" authorId="1" shapeId="0">
      <text>
        <r>
          <rPr>
            <b/>
            <sz val="8"/>
            <color indexed="81"/>
            <rFont val="Tahoma"/>
            <family val="2"/>
          </rPr>
          <t>P</t>
        </r>
      </text>
    </comment>
    <comment ref="D17" authorId="2" shapeId="0">
      <text>
        <r>
          <rPr>
            <b/>
            <sz val="8"/>
            <color indexed="81"/>
            <rFont val="Tahoma"/>
            <family val="2"/>
          </rPr>
          <t>P</t>
        </r>
      </text>
    </comment>
    <comment ref="AO17" authorId="3" shapeId="0">
      <text>
        <r>
          <rPr>
            <b/>
            <sz val="8"/>
            <color indexed="81"/>
            <rFont val="Tahoma"/>
            <family val="2"/>
          </rPr>
          <t>NOSUMA</t>
        </r>
      </text>
    </comment>
    <comment ref="AP17" authorId="0" shapeId="0">
      <text>
        <r>
          <rPr>
            <sz val="8"/>
            <color indexed="81"/>
            <rFont val="Tahoma"/>
            <family val="2"/>
          </rPr>
          <t>UNICAAPORTACION</t>
        </r>
      </text>
    </comment>
    <comment ref="AS17" authorId="7" shapeId="0">
      <text>
        <r>
          <rPr>
            <b/>
            <sz val="8"/>
            <color indexed="81"/>
            <rFont val="Tahoma"/>
            <family val="2"/>
          </rPr>
          <t>Ingresados+procedentes de otros órganos+reabiertos de Diligencias Urgentes</t>
        </r>
      </text>
    </comment>
    <comment ref="AT17" authorId="7" shapeId="0">
      <text>
        <r>
          <rPr>
            <b/>
            <sz val="8"/>
            <color indexed="81"/>
            <rFont val="Tahoma"/>
            <family val="2"/>
          </rPr>
          <t>Ingresados+Procedentes otros órganos+Reabiertos de Diligencias Previas</t>
        </r>
      </text>
    </comment>
    <comment ref="AU17" authorId="6" shapeId="0">
      <text>
        <r>
          <rPr>
            <b/>
            <sz val="8"/>
            <color indexed="81"/>
            <rFont val="Tahoma"/>
            <family val="2"/>
          </rPr>
          <t>Resueltos Diligencias Urgentes</t>
        </r>
      </text>
    </comment>
    <comment ref="AV17" authorId="6" shapeId="0">
      <text>
        <r>
          <rPr>
            <b/>
            <sz val="8"/>
            <color indexed="81"/>
            <rFont val="Tahoma"/>
            <family val="2"/>
          </rPr>
          <t>Resueltos Diligencias Previas</t>
        </r>
      </text>
    </comment>
    <comment ref="AW17" authorId="6" shapeId="0">
      <text>
        <r>
          <rPr>
            <b/>
            <sz val="8"/>
            <color indexed="81"/>
            <rFont val="Tahoma"/>
            <family val="2"/>
          </rPr>
          <t>Pendientes Diligencias Urgentes</t>
        </r>
      </text>
    </comment>
    <comment ref="AX17" authorId="6" shapeId="0">
      <text>
        <r>
          <rPr>
            <b/>
            <sz val="8"/>
            <color indexed="81"/>
            <rFont val="Tahoma"/>
            <family val="2"/>
          </rPr>
          <t>Pendientes Diligencias Previas</t>
        </r>
      </text>
    </comment>
    <comment ref="D18" authorId="4" shapeId="0">
      <text>
        <r>
          <rPr>
            <b/>
            <sz val="9"/>
            <color indexed="81"/>
            <rFont val="Tahoma"/>
            <family val="2"/>
          </rPr>
          <t>P</t>
        </r>
      </text>
    </comment>
  </commentList>
</comments>
</file>

<file path=xl/comments3.xml><?xml version="1.0" encoding="utf-8"?>
<comments xmlns="http://schemas.openxmlformats.org/spreadsheetml/2006/main">
  <authors>
    <author>Hernandez Mayor, Jose Manuel</author>
    <author>Diez Rodriguez, Susana</author>
    <author>SDR</author>
    <author>Jose Manuel Hernandez</author>
  </authors>
  <commentList>
    <comment ref="AG5" authorId="0" shapeId="0">
      <text>
        <r>
          <rPr>
            <b/>
            <sz val="9"/>
            <color indexed="81"/>
            <rFont val="Tahoma"/>
            <family val="2"/>
          </rPr>
          <t>Pendencia Concursos año anterior (35)</t>
        </r>
      </text>
    </comment>
    <comment ref="E9" authorId="1" shapeId="0">
      <text>
        <r>
          <rPr>
            <b/>
            <sz val="9"/>
            <color indexed="81"/>
            <rFont val="Tahoma"/>
            <family val="2"/>
          </rPr>
          <t>Oculto</t>
        </r>
      </text>
    </comment>
    <comment ref="G9" authorId="1" shapeId="0">
      <text>
        <r>
          <rPr>
            <b/>
            <sz val="9"/>
            <color indexed="81"/>
            <rFont val="Tahoma"/>
            <family val="2"/>
          </rPr>
          <t>Oculto</t>
        </r>
      </text>
    </comment>
    <comment ref="H9" authorId="1" shapeId="0">
      <text>
        <r>
          <rPr>
            <b/>
            <sz val="9"/>
            <color indexed="81"/>
            <rFont val="Tahoma"/>
            <family val="2"/>
          </rPr>
          <t>Oculto</t>
        </r>
      </text>
    </comment>
    <comment ref="I9" authorId="0" shapeId="0">
      <text>
        <r>
          <rPr>
            <b/>
            <sz val="9"/>
            <color indexed="81"/>
            <rFont val="Tahoma"/>
            <family val="2"/>
          </rPr>
          <t>Oculto</t>
        </r>
      </text>
    </comment>
    <comment ref="K9" authorId="1" shapeId="0">
      <text>
        <r>
          <rPr>
            <b/>
            <sz val="9"/>
            <color indexed="81"/>
            <rFont val="Tahoma"/>
            <family val="2"/>
          </rPr>
          <t>Oculto</t>
        </r>
      </text>
    </comment>
    <comment ref="L9" authorId="1" shapeId="0">
      <text>
        <r>
          <rPr>
            <b/>
            <sz val="9"/>
            <color indexed="81"/>
            <rFont val="Tahoma"/>
            <family val="2"/>
          </rPr>
          <t>Oculto</t>
        </r>
      </text>
    </comment>
    <comment ref="M9" authorId="1" shapeId="0">
      <text>
        <r>
          <rPr>
            <b/>
            <sz val="9"/>
            <color indexed="81"/>
            <rFont val="Tahoma"/>
            <family val="2"/>
          </rPr>
          <t>Oculto</t>
        </r>
      </text>
    </comment>
    <comment ref="O9" authorId="1" shapeId="0">
      <text>
        <r>
          <rPr>
            <b/>
            <sz val="9"/>
            <color indexed="81"/>
            <rFont val="Tahoma"/>
            <family val="2"/>
          </rPr>
          <t>Oculto</t>
        </r>
      </text>
    </comment>
    <comment ref="P9" authorId="1" shapeId="0">
      <text>
        <r>
          <rPr>
            <b/>
            <sz val="9"/>
            <color indexed="81"/>
            <rFont val="Tahoma"/>
            <family val="2"/>
          </rPr>
          <t>Oculto</t>
        </r>
      </text>
    </comment>
    <comment ref="R9" authorId="1" shapeId="0">
      <text>
        <r>
          <rPr>
            <b/>
            <sz val="9"/>
            <color indexed="81"/>
            <rFont val="Tahoma"/>
            <family val="2"/>
          </rPr>
          <t>Oculto</t>
        </r>
      </text>
    </comment>
    <comment ref="S9" authorId="1" shapeId="0">
      <text>
        <r>
          <rPr>
            <b/>
            <sz val="9"/>
            <color indexed="81"/>
            <rFont val="Tahoma"/>
            <family val="2"/>
          </rPr>
          <t>Oculto</t>
        </r>
      </text>
    </comment>
    <comment ref="T9" authorId="1" shapeId="0">
      <text>
        <r>
          <rPr>
            <b/>
            <sz val="9"/>
            <color indexed="81"/>
            <rFont val="Tahoma"/>
            <family val="2"/>
          </rPr>
          <t>Oculto</t>
        </r>
      </text>
    </comment>
    <comment ref="AG9" authorId="1" shapeId="0">
      <text>
        <r>
          <rPr>
            <b/>
            <sz val="9"/>
            <color indexed="81"/>
            <rFont val="Tahoma"/>
            <family val="2"/>
          </rPr>
          <t>Oculto</t>
        </r>
      </text>
    </comment>
    <comment ref="AK9" authorId="1" shapeId="0">
      <text>
        <r>
          <rPr>
            <b/>
            <sz val="9"/>
            <color indexed="81"/>
            <rFont val="Tahoma"/>
            <family val="2"/>
          </rPr>
          <t>Oculto</t>
        </r>
      </text>
    </comment>
    <comment ref="AL9" authorId="1" shapeId="0">
      <text>
        <r>
          <rPr>
            <b/>
            <sz val="9"/>
            <color indexed="81"/>
            <rFont val="Tahoma"/>
            <family val="2"/>
          </rPr>
          <t>Oculto</t>
        </r>
      </text>
    </comment>
    <comment ref="AN9" authorId="1" shapeId="0">
      <text>
        <r>
          <rPr>
            <b/>
            <sz val="9"/>
            <color indexed="81"/>
            <rFont val="Tahoma"/>
            <family val="2"/>
          </rPr>
          <t>Oculto</t>
        </r>
      </text>
    </comment>
    <comment ref="AO9" authorId="1" shapeId="0">
      <text>
        <r>
          <rPr>
            <b/>
            <sz val="9"/>
            <color indexed="81"/>
            <rFont val="Tahoma"/>
            <family val="2"/>
          </rPr>
          <t>Oculto</t>
        </r>
      </text>
    </comment>
    <comment ref="AP9" authorId="1" shapeId="0">
      <text>
        <r>
          <rPr>
            <b/>
            <sz val="9"/>
            <color indexed="81"/>
            <rFont val="Tahoma"/>
            <family val="2"/>
          </rPr>
          <t>Oculto</t>
        </r>
      </text>
    </comment>
    <comment ref="AQ9" authorId="1" shapeId="0">
      <text>
        <r>
          <rPr>
            <b/>
            <sz val="9"/>
            <color indexed="81"/>
            <rFont val="Tahoma"/>
            <family val="2"/>
          </rPr>
          <t>Oculto</t>
        </r>
      </text>
    </comment>
    <comment ref="AR9" authorId="1" shapeId="0">
      <text>
        <r>
          <rPr>
            <b/>
            <sz val="9"/>
            <color indexed="81"/>
            <rFont val="Tahoma"/>
            <family val="2"/>
          </rPr>
          <t>Oculto</t>
        </r>
      </text>
    </comment>
    <comment ref="BA9" authorId="1" shapeId="0">
      <text>
        <r>
          <rPr>
            <b/>
            <sz val="9"/>
            <color indexed="81"/>
            <rFont val="Tahoma"/>
            <family val="2"/>
          </rPr>
          <t>Oculto</t>
        </r>
      </text>
    </comment>
    <comment ref="BB9" authorId="1" shapeId="0">
      <text>
        <r>
          <rPr>
            <b/>
            <sz val="9"/>
            <color indexed="81"/>
            <rFont val="Tahoma"/>
            <family val="2"/>
          </rPr>
          <t>Oculto</t>
        </r>
      </text>
    </comment>
    <comment ref="BI9" authorId="1" shapeId="0">
      <text>
        <r>
          <rPr>
            <b/>
            <sz val="9"/>
            <color indexed="81"/>
            <rFont val="Tahoma"/>
            <family val="2"/>
          </rPr>
          <t>Oculto</t>
        </r>
      </text>
    </comment>
    <comment ref="BK9" authorId="1" shapeId="0">
      <text>
        <r>
          <rPr>
            <b/>
            <sz val="9"/>
            <color indexed="81"/>
            <rFont val="Tahoma"/>
            <family val="2"/>
          </rPr>
          <t>Oculto</t>
        </r>
      </text>
    </comment>
    <comment ref="BN9" authorId="1" shapeId="0">
      <text>
        <r>
          <rPr>
            <b/>
            <sz val="9"/>
            <color indexed="81"/>
            <rFont val="Tahoma"/>
            <family val="2"/>
          </rPr>
          <t>Oculto</t>
        </r>
      </text>
    </comment>
    <comment ref="BO9" authorId="1" shapeId="0">
      <text>
        <r>
          <rPr>
            <b/>
            <sz val="9"/>
            <color indexed="81"/>
            <rFont val="Tahoma"/>
            <family val="2"/>
          </rPr>
          <t>Oculto</t>
        </r>
      </text>
    </comment>
    <comment ref="BR9" authorId="1" shapeId="0">
      <text>
        <r>
          <rPr>
            <b/>
            <sz val="9"/>
            <color indexed="81"/>
            <rFont val="Tahoma"/>
            <family val="2"/>
          </rPr>
          <t>Oculto</t>
        </r>
      </text>
    </comment>
    <comment ref="BS9" authorId="1" shapeId="0">
      <text>
        <r>
          <rPr>
            <b/>
            <sz val="9"/>
            <color indexed="81"/>
            <rFont val="Tahoma"/>
            <family val="2"/>
          </rPr>
          <t>Oculto</t>
        </r>
      </text>
    </comment>
    <comment ref="D10" authorId="1" shapeId="0">
      <text>
        <r>
          <rPr>
            <b/>
            <sz val="9"/>
            <color indexed="81"/>
            <rFont val="Tahoma"/>
            <family val="2"/>
          </rPr>
          <t>Oculto</t>
        </r>
      </text>
    </comment>
    <comment ref="E10" authorId="1" shapeId="0">
      <text>
        <r>
          <rPr>
            <b/>
            <sz val="9"/>
            <color indexed="81"/>
            <rFont val="Tahoma"/>
            <family val="2"/>
          </rPr>
          <t>Oculto</t>
        </r>
      </text>
    </comment>
    <comment ref="G10" authorId="1" shapeId="0">
      <text>
        <r>
          <rPr>
            <b/>
            <sz val="9"/>
            <color indexed="81"/>
            <rFont val="Tahoma"/>
            <family val="2"/>
          </rPr>
          <t>Oculto</t>
        </r>
      </text>
    </comment>
    <comment ref="H10" authorId="1" shapeId="0">
      <text>
        <r>
          <rPr>
            <b/>
            <sz val="9"/>
            <color indexed="81"/>
            <rFont val="Tahoma"/>
            <family val="2"/>
          </rPr>
          <t>Oculto</t>
        </r>
      </text>
    </comment>
    <comment ref="J10" authorId="1" shapeId="0">
      <text>
        <r>
          <rPr>
            <b/>
            <sz val="9"/>
            <color indexed="81"/>
            <rFont val="Tahoma"/>
            <family val="2"/>
          </rPr>
          <t>Oculto</t>
        </r>
      </text>
    </comment>
    <comment ref="K10" authorId="1" shapeId="0">
      <text>
        <r>
          <rPr>
            <b/>
            <sz val="9"/>
            <color indexed="81"/>
            <rFont val="Tahoma"/>
            <family val="2"/>
          </rPr>
          <t>Oculto</t>
        </r>
      </text>
    </comment>
    <comment ref="L10" authorId="1" shapeId="0">
      <text>
        <r>
          <rPr>
            <b/>
            <sz val="9"/>
            <color indexed="81"/>
            <rFont val="Tahoma"/>
            <family val="2"/>
          </rPr>
          <t>Oculto</t>
        </r>
      </text>
    </comment>
    <comment ref="M10" authorId="1" shapeId="0">
      <text>
        <r>
          <rPr>
            <b/>
            <sz val="9"/>
            <color indexed="81"/>
            <rFont val="Tahoma"/>
            <family val="2"/>
          </rPr>
          <t>Oculto</t>
        </r>
      </text>
    </comment>
    <comment ref="N10" authorId="1" shapeId="0">
      <text>
        <r>
          <rPr>
            <b/>
            <sz val="9"/>
            <color indexed="81"/>
            <rFont val="Tahoma"/>
            <family val="2"/>
          </rPr>
          <t>Oculto</t>
        </r>
      </text>
    </comment>
    <comment ref="O10" authorId="1" shapeId="0">
      <text>
        <r>
          <rPr>
            <b/>
            <sz val="9"/>
            <color indexed="81"/>
            <rFont val="Tahoma"/>
            <family val="2"/>
          </rPr>
          <t>Oculto</t>
        </r>
      </text>
    </comment>
    <comment ref="P10" authorId="1" shapeId="0">
      <text>
        <r>
          <rPr>
            <b/>
            <sz val="9"/>
            <color indexed="81"/>
            <rFont val="Tahoma"/>
            <family val="2"/>
          </rPr>
          <t>Oculto</t>
        </r>
      </text>
    </comment>
    <comment ref="R10" authorId="1" shapeId="0">
      <text>
        <r>
          <rPr>
            <b/>
            <sz val="9"/>
            <color indexed="81"/>
            <rFont val="Tahoma"/>
            <family val="2"/>
          </rPr>
          <t>Oculto</t>
        </r>
      </text>
    </comment>
    <comment ref="S10" authorId="1" shapeId="0">
      <text>
        <r>
          <rPr>
            <b/>
            <sz val="9"/>
            <color indexed="81"/>
            <rFont val="Tahoma"/>
            <family val="2"/>
          </rPr>
          <t>Oculto</t>
        </r>
      </text>
    </comment>
    <comment ref="T10" authorId="1" shapeId="0">
      <text>
        <r>
          <rPr>
            <b/>
            <sz val="9"/>
            <color indexed="81"/>
            <rFont val="Tahoma"/>
            <family val="2"/>
          </rPr>
          <t>Oculto</t>
        </r>
      </text>
    </comment>
    <comment ref="U10" authorId="2" shapeId="0">
      <text>
        <r>
          <rPr>
            <b/>
            <sz val="9"/>
            <color indexed="81"/>
            <rFont val="Tahoma"/>
            <family val="2"/>
          </rPr>
          <t>Oculto</t>
        </r>
      </text>
    </comment>
    <comment ref="V10" authorId="1" shapeId="0">
      <text>
        <r>
          <rPr>
            <b/>
            <sz val="9"/>
            <color indexed="81"/>
            <rFont val="Tahoma"/>
            <family val="2"/>
          </rPr>
          <t>Oculto</t>
        </r>
      </text>
    </comment>
    <comment ref="Y10" authorId="1" shapeId="0">
      <text>
        <r>
          <rPr>
            <b/>
            <sz val="9"/>
            <color indexed="81"/>
            <rFont val="Tahoma"/>
            <family val="2"/>
          </rPr>
          <t>Oculto</t>
        </r>
      </text>
    </comment>
    <comment ref="AD10" authorId="1" shapeId="0">
      <text>
        <r>
          <rPr>
            <b/>
            <sz val="9"/>
            <color indexed="81"/>
            <rFont val="Tahoma"/>
            <family val="2"/>
          </rPr>
          <t>Oculto</t>
        </r>
      </text>
    </comment>
    <comment ref="AE10" authorId="3" shapeId="0">
      <text>
        <r>
          <rPr>
            <b/>
            <sz val="9"/>
            <color indexed="81"/>
            <rFont val="Tahoma"/>
            <family val="2"/>
          </rPr>
          <t>Oculto</t>
        </r>
      </text>
    </comment>
    <comment ref="AG10" authorId="1" shapeId="0">
      <text>
        <r>
          <rPr>
            <b/>
            <sz val="9"/>
            <color indexed="81"/>
            <rFont val="Tahoma"/>
            <family val="2"/>
          </rPr>
          <t>Oculto</t>
        </r>
      </text>
    </comment>
    <comment ref="AH10" authorId="1" shapeId="0">
      <text>
        <r>
          <rPr>
            <b/>
            <sz val="9"/>
            <color indexed="81"/>
            <rFont val="Tahoma"/>
            <family val="2"/>
          </rPr>
          <t>Oculto</t>
        </r>
      </text>
    </comment>
    <comment ref="AI10" authorId="1" shapeId="0">
      <text>
        <r>
          <rPr>
            <b/>
            <sz val="9"/>
            <color indexed="81"/>
            <rFont val="Tahoma"/>
            <family val="2"/>
          </rPr>
          <t>Oculto</t>
        </r>
      </text>
    </comment>
    <comment ref="AJ10" authorId="3" shapeId="0">
      <text>
        <r>
          <rPr>
            <b/>
            <sz val="9"/>
            <color indexed="81"/>
            <rFont val="Tahoma"/>
            <family val="2"/>
          </rPr>
          <t>Oculto</t>
        </r>
      </text>
    </comment>
    <comment ref="AK10" authorId="1" shapeId="0">
      <text>
        <r>
          <rPr>
            <b/>
            <sz val="9"/>
            <color indexed="81"/>
            <rFont val="Tahoma"/>
            <family val="2"/>
          </rPr>
          <t>Oculto</t>
        </r>
      </text>
    </comment>
    <comment ref="AL10" authorId="1" shapeId="0">
      <text>
        <r>
          <rPr>
            <b/>
            <sz val="9"/>
            <color indexed="81"/>
            <rFont val="Tahoma"/>
            <family val="2"/>
          </rPr>
          <t>Oculto</t>
        </r>
      </text>
    </comment>
    <comment ref="AN10" authorId="1" shapeId="0">
      <text>
        <r>
          <rPr>
            <b/>
            <sz val="9"/>
            <color indexed="81"/>
            <rFont val="Tahoma"/>
            <family val="2"/>
          </rPr>
          <t>Oculto</t>
        </r>
      </text>
    </comment>
    <comment ref="AO10" authorId="1" shapeId="0">
      <text>
        <r>
          <rPr>
            <b/>
            <sz val="9"/>
            <color indexed="81"/>
            <rFont val="Tahoma"/>
            <family val="2"/>
          </rPr>
          <t>Oculto</t>
        </r>
      </text>
    </comment>
    <comment ref="AP10" authorId="1" shapeId="0">
      <text>
        <r>
          <rPr>
            <b/>
            <sz val="9"/>
            <color indexed="81"/>
            <rFont val="Tahoma"/>
            <family val="2"/>
          </rPr>
          <t>Oculto</t>
        </r>
      </text>
    </comment>
    <comment ref="AQ10" authorId="1" shapeId="0">
      <text>
        <r>
          <rPr>
            <b/>
            <sz val="9"/>
            <color indexed="81"/>
            <rFont val="Tahoma"/>
            <family val="2"/>
          </rPr>
          <t>Oculto</t>
        </r>
      </text>
    </comment>
    <comment ref="AR10" authorId="1" shapeId="0">
      <text>
        <r>
          <rPr>
            <b/>
            <sz val="9"/>
            <color indexed="81"/>
            <rFont val="Tahoma"/>
            <family val="2"/>
          </rPr>
          <t>Oculto</t>
        </r>
      </text>
    </comment>
    <comment ref="BA10" authorId="1" shapeId="0">
      <text>
        <r>
          <rPr>
            <b/>
            <sz val="9"/>
            <color indexed="81"/>
            <rFont val="Tahoma"/>
            <family val="2"/>
          </rPr>
          <t>Oculto</t>
        </r>
      </text>
    </comment>
    <comment ref="BB10" authorId="1" shapeId="0">
      <text>
        <r>
          <rPr>
            <b/>
            <sz val="9"/>
            <color indexed="81"/>
            <rFont val="Tahoma"/>
            <family val="2"/>
          </rPr>
          <t>Oculto</t>
        </r>
      </text>
    </comment>
    <comment ref="BI10" authorId="1" shapeId="0">
      <text>
        <r>
          <rPr>
            <b/>
            <sz val="9"/>
            <color indexed="81"/>
            <rFont val="Tahoma"/>
            <family val="2"/>
          </rPr>
          <t>Oculto</t>
        </r>
      </text>
    </comment>
    <comment ref="BK10" authorId="1" shapeId="0">
      <text>
        <r>
          <rPr>
            <b/>
            <sz val="9"/>
            <color indexed="81"/>
            <rFont val="Tahoma"/>
            <family val="2"/>
          </rPr>
          <t>Oculto</t>
        </r>
      </text>
    </comment>
    <comment ref="BN10" authorId="1" shapeId="0">
      <text>
        <r>
          <rPr>
            <b/>
            <sz val="9"/>
            <color indexed="81"/>
            <rFont val="Tahoma"/>
            <family val="2"/>
          </rPr>
          <t>Oculto</t>
        </r>
      </text>
    </comment>
    <comment ref="BO10" authorId="1" shapeId="0">
      <text>
        <r>
          <rPr>
            <b/>
            <sz val="9"/>
            <color indexed="81"/>
            <rFont val="Tahoma"/>
            <family val="2"/>
          </rPr>
          <t>Oculto</t>
        </r>
      </text>
    </comment>
    <comment ref="BR10" authorId="1" shapeId="0">
      <text>
        <r>
          <rPr>
            <b/>
            <sz val="9"/>
            <color indexed="81"/>
            <rFont val="Tahoma"/>
            <family val="2"/>
          </rPr>
          <t>Oculto</t>
        </r>
      </text>
    </comment>
    <comment ref="BS10" authorId="1" shapeId="0">
      <text>
        <r>
          <rPr>
            <b/>
            <sz val="9"/>
            <color indexed="81"/>
            <rFont val="Tahoma"/>
            <family val="2"/>
          </rPr>
          <t>Oculto</t>
        </r>
      </text>
    </comment>
    <comment ref="E11" authorId="1" shapeId="0">
      <text>
        <r>
          <rPr>
            <b/>
            <sz val="9"/>
            <color indexed="81"/>
            <rFont val="Tahoma"/>
            <family val="2"/>
          </rPr>
          <t>Oculto</t>
        </r>
      </text>
    </comment>
    <comment ref="G11" authorId="1" shapeId="0">
      <text>
        <r>
          <rPr>
            <b/>
            <sz val="9"/>
            <color indexed="81"/>
            <rFont val="Tahoma"/>
            <family val="2"/>
          </rPr>
          <t>Oculto</t>
        </r>
      </text>
    </comment>
    <comment ref="H11" authorId="1" shapeId="0">
      <text>
        <r>
          <rPr>
            <b/>
            <sz val="9"/>
            <color indexed="81"/>
            <rFont val="Tahoma"/>
            <family val="2"/>
          </rPr>
          <t>Oculto</t>
        </r>
      </text>
    </comment>
    <comment ref="J11" authorId="0" shapeId="0">
      <text>
        <r>
          <rPr>
            <b/>
            <sz val="9"/>
            <color indexed="81"/>
            <rFont val="Tahoma"/>
            <family val="2"/>
          </rPr>
          <t>Oculto</t>
        </r>
      </text>
    </comment>
    <comment ref="K11" authorId="1" shapeId="0">
      <text>
        <r>
          <rPr>
            <b/>
            <sz val="9"/>
            <color indexed="81"/>
            <rFont val="Tahoma"/>
            <family val="2"/>
          </rPr>
          <t>Oculto</t>
        </r>
      </text>
    </comment>
    <comment ref="L11" authorId="1" shapeId="0">
      <text>
        <r>
          <rPr>
            <b/>
            <sz val="9"/>
            <color indexed="81"/>
            <rFont val="Tahoma"/>
            <family val="2"/>
          </rPr>
          <t>Oculto</t>
        </r>
      </text>
    </comment>
    <comment ref="M11" authorId="1" shapeId="0">
      <text>
        <r>
          <rPr>
            <b/>
            <sz val="9"/>
            <color indexed="81"/>
            <rFont val="Tahoma"/>
            <family val="2"/>
          </rPr>
          <t>Oculto</t>
        </r>
      </text>
    </comment>
    <comment ref="O11" authorId="1" shapeId="0">
      <text>
        <r>
          <rPr>
            <b/>
            <sz val="9"/>
            <color indexed="81"/>
            <rFont val="Tahoma"/>
            <family val="2"/>
          </rPr>
          <t>Oculto</t>
        </r>
      </text>
    </comment>
    <comment ref="P11" authorId="1" shapeId="0">
      <text>
        <r>
          <rPr>
            <b/>
            <sz val="9"/>
            <color indexed="81"/>
            <rFont val="Tahoma"/>
            <family val="2"/>
          </rPr>
          <t>Oculto</t>
        </r>
      </text>
    </comment>
    <comment ref="R11" authorId="1" shapeId="0">
      <text>
        <r>
          <rPr>
            <b/>
            <sz val="9"/>
            <color indexed="81"/>
            <rFont val="Tahoma"/>
            <family val="2"/>
          </rPr>
          <t>Oculto</t>
        </r>
      </text>
    </comment>
    <comment ref="S11" authorId="1" shapeId="0">
      <text>
        <r>
          <rPr>
            <b/>
            <sz val="9"/>
            <color indexed="81"/>
            <rFont val="Tahoma"/>
            <family val="2"/>
          </rPr>
          <t>Oculto</t>
        </r>
      </text>
    </comment>
    <comment ref="T11" authorId="1" shapeId="0">
      <text>
        <r>
          <rPr>
            <b/>
            <sz val="9"/>
            <color indexed="81"/>
            <rFont val="Tahoma"/>
            <family val="2"/>
          </rPr>
          <t>Oculto</t>
        </r>
      </text>
    </comment>
    <comment ref="Y11" authorId="1" shapeId="0">
      <text>
        <r>
          <rPr>
            <b/>
            <sz val="9"/>
            <color indexed="81"/>
            <rFont val="Tahoma"/>
            <family val="2"/>
          </rPr>
          <t>Oculto</t>
        </r>
      </text>
    </comment>
    <comment ref="AD11" authorId="1" shapeId="0">
      <text>
        <r>
          <rPr>
            <b/>
            <sz val="9"/>
            <color indexed="81"/>
            <rFont val="Tahoma"/>
            <family val="2"/>
          </rPr>
          <t>Oculto</t>
        </r>
      </text>
    </comment>
    <comment ref="AE11" authorId="3" shapeId="0">
      <text>
        <r>
          <rPr>
            <b/>
            <sz val="9"/>
            <color indexed="81"/>
            <rFont val="Tahoma"/>
            <family val="2"/>
          </rPr>
          <t>Oculto</t>
        </r>
      </text>
    </comment>
    <comment ref="AG11" authorId="1" shapeId="0">
      <text>
        <r>
          <rPr>
            <b/>
            <sz val="9"/>
            <color indexed="81"/>
            <rFont val="Tahoma"/>
            <family val="2"/>
          </rPr>
          <t>Oculto</t>
        </r>
      </text>
    </comment>
    <comment ref="AI11" authorId="1" shapeId="0">
      <text>
        <r>
          <rPr>
            <b/>
            <sz val="9"/>
            <color indexed="81"/>
            <rFont val="Tahoma"/>
            <family val="2"/>
          </rPr>
          <t>Oculto</t>
        </r>
      </text>
    </comment>
    <comment ref="AJ11" authorId="3" shapeId="0">
      <text>
        <r>
          <rPr>
            <b/>
            <sz val="9"/>
            <color indexed="81"/>
            <rFont val="Tahoma"/>
            <family val="2"/>
          </rPr>
          <t>Oculto</t>
        </r>
      </text>
    </comment>
    <comment ref="AK11" authorId="1" shapeId="0">
      <text>
        <r>
          <rPr>
            <b/>
            <sz val="9"/>
            <color indexed="81"/>
            <rFont val="Tahoma"/>
            <family val="2"/>
          </rPr>
          <t>Oculto</t>
        </r>
      </text>
    </comment>
    <comment ref="AL11" authorId="1" shapeId="0">
      <text>
        <r>
          <rPr>
            <b/>
            <sz val="9"/>
            <color indexed="81"/>
            <rFont val="Tahoma"/>
            <family val="2"/>
          </rPr>
          <t>Oculto</t>
        </r>
      </text>
    </comment>
    <comment ref="AN11" authorId="1" shapeId="0">
      <text>
        <r>
          <rPr>
            <b/>
            <sz val="9"/>
            <color indexed="81"/>
            <rFont val="Tahoma"/>
            <family val="2"/>
          </rPr>
          <t>Oculto</t>
        </r>
      </text>
    </comment>
    <comment ref="AO11" authorId="1" shapeId="0">
      <text>
        <r>
          <rPr>
            <b/>
            <sz val="9"/>
            <color indexed="81"/>
            <rFont val="Tahoma"/>
            <family val="2"/>
          </rPr>
          <t>Oculto</t>
        </r>
      </text>
    </comment>
    <comment ref="AP11" authorId="1" shapeId="0">
      <text>
        <r>
          <rPr>
            <b/>
            <sz val="9"/>
            <color indexed="81"/>
            <rFont val="Tahoma"/>
            <family val="2"/>
          </rPr>
          <t>Oculto</t>
        </r>
      </text>
    </comment>
    <comment ref="AQ11" authorId="1" shapeId="0">
      <text>
        <r>
          <rPr>
            <b/>
            <sz val="9"/>
            <color indexed="81"/>
            <rFont val="Tahoma"/>
            <family val="2"/>
          </rPr>
          <t>Oculto</t>
        </r>
      </text>
    </comment>
    <comment ref="AR11" authorId="1" shapeId="0">
      <text>
        <r>
          <rPr>
            <b/>
            <sz val="9"/>
            <color indexed="81"/>
            <rFont val="Tahoma"/>
            <family val="2"/>
          </rPr>
          <t>Oculto</t>
        </r>
      </text>
    </comment>
    <comment ref="BA11" authorId="1" shapeId="0">
      <text>
        <r>
          <rPr>
            <b/>
            <sz val="9"/>
            <color indexed="81"/>
            <rFont val="Tahoma"/>
            <family val="2"/>
          </rPr>
          <t>Oculto</t>
        </r>
      </text>
    </comment>
    <comment ref="BB11" authorId="1" shapeId="0">
      <text>
        <r>
          <rPr>
            <b/>
            <sz val="9"/>
            <color indexed="81"/>
            <rFont val="Tahoma"/>
            <family val="2"/>
          </rPr>
          <t>Oculto</t>
        </r>
      </text>
    </comment>
    <comment ref="BI11" authorId="1" shapeId="0">
      <text>
        <r>
          <rPr>
            <b/>
            <sz val="9"/>
            <color indexed="81"/>
            <rFont val="Tahoma"/>
            <family val="2"/>
          </rPr>
          <t>Oculto</t>
        </r>
      </text>
    </comment>
    <comment ref="BK11" authorId="1" shapeId="0">
      <text>
        <r>
          <rPr>
            <b/>
            <sz val="9"/>
            <color indexed="81"/>
            <rFont val="Tahoma"/>
            <family val="2"/>
          </rPr>
          <t>Oculto</t>
        </r>
      </text>
    </comment>
    <comment ref="BN11" authorId="1" shapeId="0">
      <text>
        <r>
          <rPr>
            <b/>
            <sz val="9"/>
            <color indexed="81"/>
            <rFont val="Tahoma"/>
            <family val="2"/>
          </rPr>
          <t>Oculto</t>
        </r>
      </text>
    </comment>
    <comment ref="BO11" authorId="1" shapeId="0">
      <text>
        <r>
          <rPr>
            <b/>
            <sz val="9"/>
            <color indexed="81"/>
            <rFont val="Tahoma"/>
            <family val="2"/>
          </rPr>
          <t>Oculto</t>
        </r>
      </text>
    </comment>
    <comment ref="BR11" authorId="1" shapeId="0">
      <text>
        <r>
          <rPr>
            <b/>
            <sz val="9"/>
            <color indexed="81"/>
            <rFont val="Tahoma"/>
            <family val="2"/>
          </rPr>
          <t>Oculto</t>
        </r>
      </text>
    </comment>
    <comment ref="BS11" authorId="1" shapeId="0">
      <text>
        <r>
          <rPr>
            <b/>
            <sz val="9"/>
            <color indexed="81"/>
            <rFont val="Tahoma"/>
            <family val="2"/>
          </rPr>
          <t>Oculto</t>
        </r>
      </text>
    </comment>
    <comment ref="E12" authorId="1" shapeId="0">
      <text>
        <r>
          <rPr>
            <b/>
            <sz val="9"/>
            <color indexed="81"/>
            <rFont val="Tahoma"/>
            <family val="2"/>
          </rPr>
          <t>Oculto</t>
        </r>
      </text>
    </comment>
    <comment ref="G12" authorId="1" shapeId="0">
      <text>
        <r>
          <rPr>
            <b/>
            <sz val="9"/>
            <color indexed="81"/>
            <rFont val="Tahoma"/>
            <family val="2"/>
          </rPr>
          <t>Oculto</t>
        </r>
      </text>
    </comment>
    <comment ref="H12" authorId="1" shapeId="0">
      <text>
        <r>
          <rPr>
            <b/>
            <sz val="9"/>
            <color indexed="81"/>
            <rFont val="Tahoma"/>
            <family val="2"/>
          </rPr>
          <t>Oculto</t>
        </r>
      </text>
    </comment>
    <comment ref="J12" authorId="0" shapeId="0">
      <text>
        <r>
          <rPr>
            <b/>
            <sz val="9"/>
            <color indexed="81"/>
            <rFont val="Tahoma"/>
            <family val="2"/>
          </rPr>
          <t>Oculto</t>
        </r>
      </text>
    </comment>
    <comment ref="K12" authorId="1" shapeId="0">
      <text>
        <r>
          <rPr>
            <b/>
            <sz val="9"/>
            <color indexed="81"/>
            <rFont val="Tahoma"/>
            <family val="2"/>
          </rPr>
          <t>Oculto</t>
        </r>
      </text>
    </comment>
    <comment ref="L12" authorId="1" shapeId="0">
      <text>
        <r>
          <rPr>
            <b/>
            <sz val="9"/>
            <color indexed="81"/>
            <rFont val="Tahoma"/>
            <family val="2"/>
          </rPr>
          <t>Oculto</t>
        </r>
      </text>
    </comment>
    <comment ref="M12" authorId="1" shapeId="0">
      <text>
        <r>
          <rPr>
            <b/>
            <sz val="9"/>
            <color indexed="81"/>
            <rFont val="Tahoma"/>
            <family val="2"/>
          </rPr>
          <t>Oculto</t>
        </r>
      </text>
    </comment>
    <comment ref="O12" authorId="1" shapeId="0">
      <text>
        <r>
          <rPr>
            <b/>
            <sz val="9"/>
            <color indexed="81"/>
            <rFont val="Tahoma"/>
            <family val="2"/>
          </rPr>
          <t>Oculto</t>
        </r>
      </text>
    </comment>
    <comment ref="P12" authorId="1" shapeId="0">
      <text>
        <r>
          <rPr>
            <b/>
            <sz val="9"/>
            <color indexed="81"/>
            <rFont val="Tahoma"/>
            <family val="2"/>
          </rPr>
          <t>Oculto</t>
        </r>
      </text>
    </comment>
    <comment ref="R12" authorId="1" shapeId="0">
      <text>
        <r>
          <rPr>
            <b/>
            <sz val="9"/>
            <color indexed="81"/>
            <rFont val="Tahoma"/>
            <family val="2"/>
          </rPr>
          <t>Oculto</t>
        </r>
      </text>
    </comment>
    <comment ref="S12" authorId="1" shapeId="0">
      <text>
        <r>
          <rPr>
            <b/>
            <sz val="9"/>
            <color indexed="81"/>
            <rFont val="Tahoma"/>
            <family val="2"/>
          </rPr>
          <t>Oculto</t>
        </r>
      </text>
    </comment>
    <comment ref="T12" authorId="1" shapeId="0">
      <text>
        <r>
          <rPr>
            <b/>
            <sz val="9"/>
            <color indexed="81"/>
            <rFont val="Tahoma"/>
            <family val="2"/>
          </rPr>
          <t>Oculto</t>
        </r>
      </text>
    </comment>
    <comment ref="AG12" authorId="1" shapeId="0">
      <text>
        <r>
          <rPr>
            <b/>
            <sz val="9"/>
            <color indexed="81"/>
            <rFont val="Tahoma"/>
            <family val="2"/>
          </rPr>
          <t>Oculto</t>
        </r>
      </text>
    </comment>
    <comment ref="AK12" authorId="1" shapeId="0">
      <text>
        <r>
          <rPr>
            <b/>
            <sz val="9"/>
            <color indexed="81"/>
            <rFont val="Tahoma"/>
            <family val="2"/>
          </rPr>
          <t>Oculto</t>
        </r>
      </text>
    </comment>
    <comment ref="AL12" authorId="1" shapeId="0">
      <text>
        <r>
          <rPr>
            <b/>
            <sz val="9"/>
            <color indexed="81"/>
            <rFont val="Tahoma"/>
            <family val="2"/>
          </rPr>
          <t>Oculto</t>
        </r>
      </text>
    </comment>
    <comment ref="AN12" authorId="1" shapeId="0">
      <text>
        <r>
          <rPr>
            <b/>
            <sz val="9"/>
            <color indexed="81"/>
            <rFont val="Tahoma"/>
            <family val="2"/>
          </rPr>
          <t>Oculto</t>
        </r>
      </text>
    </comment>
    <comment ref="AO12" authorId="1" shapeId="0">
      <text>
        <r>
          <rPr>
            <b/>
            <sz val="9"/>
            <color indexed="81"/>
            <rFont val="Tahoma"/>
            <family val="2"/>
          </rPr>
          <t>Oculto</t>
        </r>
      </text>
    </comment>
    <comment ref="AP12" authorId="1" shapeId="0">
      <text>
        <r>
          <rPr>
            <b/>
            <sz val="9"/>
            <color indexed="81"/>
            <rFont val="Tahoma"/>
            <family val="2"/>
          </rPr>
          <t>Oculto</t>
        </r>
      </text>
    </comment>
    <comment ref="AQ12" authorId="1" shapeId="0">
      <text>
        <r>
          <rPr>
            <b/>
            <sz val="9"/>
            <color indexed="81"/>
            <rFont val="Tahoma"/>
            <family val="2"/>
          </rPr>
          <t>Oculto</t>
        </r>
      </text>
    </comment>
    <comment ref="AR12" authorId="1" shapeId="0">
      <text>
        <r>
          <rPr>
            <b/>
            <sz val="9"/>
            <color indexed="81"/>
            <rFont val="Tahoma"/>
            <family val="2"/>
          </rPr>
          <t>Oculto</t>
        </r>
      </text>
    </comment>
    <comment ref="BA12" authorId="1" shapeId="0">
      <text>
        <r>
          <rPr>
            <b/>
            <sz val="9"/>
            <color indexed="81"/>
            <rFont val="Tahoma"/>
            <family val="2"/>
          </rPr>
          <t>Oculto</t>
        </r>
      </text>
    </comment>
    <comment ref="BB12" authorId="1" shapeId="0">
      <text>
        <r>
          <rPr>
            <b/>
            <sz val="9"/>
            <color indexed="81"/>
            <rFont val="Tahoma"/>
            <family val="2"/>
          </rPr>
          <t>Oculto</t>
        </r>
      </text>
    </comment>
    <comment ref="BI12" authorId="1" shapeId="0">
      <text>
        <r>
          <rPr>
            <b/>
            <sz val="9"/>
            <color indexed="81"/>
            <rFont val="Tahoma"/>
            <family val="2"/>
          </rPr>
          <t>Oculto</t>
        </r>
      </text>
    </comment>
    <comment ref="BK12" authorId="1" shapeId="0">
      <text>
        <r>
          <rPr>
            <b/>
            <sz val="9"/>
            <color indexed="81"/>
            <rFont val="Tahoma"/>
            <family val="2"/>
          </rPr>
          <t>Oculto</t>
        </r>
      </text>
    </comment>
    <comment ref="BN12" authorId="1" shapeId="0">
      <text>
        <r>
          <rPr>
            <b/>
            <sz val="9"/>
            <color indexed="81"/>
            <rFont val="Tahoma"/>
            <family val="2"/>
          </rPr>
          <t>Oculto</t>
        </r>
      </text>
    </comment>
    <comment ref="BO12" authorId="1" shapeId="0">
      <text>
        <r>
          <rPr>
            <b/>
            <sz val="9"/>
            <color indexed="81"/>
            <rFont val="Tahoma"/>
            <family val="2"/>
          </rPr>
          <t>Oculto</t>
        </r>
      </text>
    </comment>
    <comment ref="BR12" authorId="1" shapeId="0">
      <text>
        <r>
          <rPr>
            <b/>
            <sz val="9"/>
            <color indexed="81"/>
            <rFont val="Tahoma"/>
            <family val="2"/>
          </rPr>
          <t>Oculto</t>
        </r>
      </text>
    </comment>
    <comment ref="BS12" authorId="1" shapeId="0">
      <text>
        <r>
          <rPr>
            <b/>
            <sz val="9"/>
            <color indexed="81"/>
            <rFont val="Tahoma"/>
            <family val="2"/>
          </rPr>
          <t>Oculto</t>
        </r>
      </text>
    </comment>
    <comment ref="E15" authorId="1" shapeId="0">
      <text>
        <r>
          <rPr>
            <b/>
            <sz val="9"/>
            <color indexed="81"/>
            <rFont val="Tahoma"/>
            <family val="2"/>
          </rPr>
          <t>Oculto</t>
        </r>
      </text>
    </comment>
    <comment ref="H15" authorId="1" shapeId="0">
      <text>
        <r>
          <rPr>
            <b/>
            <sz val="9"/>
            <color indexed="81"/>
            <rFont val="Tahoma"/>
            <family val="2"/>
          </rPr>
          <t>Oculto</t>
        </r>
      </text>
    </comment>
    <comment ref="J15" authorId="1" shapeId="0">
      <text>
        <r>
          <rPr>
            <b/>
            <sz val="9"/>
            <color indexed="81"/>
            <rFont val="Tahoma"/>
            <family val="2"/>
          </rPr>
          <t>Oculto</t>
        </r>
      </text>
    </comment>
    <comment ref="K15" authorId="1" shapeId="0">
      <text>
        <r>
          <rPr>
            <b/>
            <sz val="9"/>
            <color indexed="81"/>
            <rFont val="Tahoma"/>
            <family val="2"/>
          </rPr>
          <t>Oculto</t>
        </r>
      </text>
    </comment>
    <comment ref="M15" authorId="1" shapeId="0">
      <text>
        <r>
          <rPr>
            <b/>
            <sz val="9"/>
            <color indexed="81"/>
            <rFont val="Tahoma"/>
            <family val="2"/>
          </rPr>
          <t>Oculto</t>
        </r>
      </text>
    </comment>
    <comment ref="N15" authorId="1" shapeId="0">
      <text>
        <r>
          <rPr>
            <b/>
            <sz val="9"/>
            <color indexed="81"/>
            <rFont val="Tahoma"/>
            <family val="2"/>
          </rPr>
          <t>Oculto</t>
        </r>
      </text>
    </comment>
    <comment ref="U15" authorId="1" shapeId="0">
      <text>
        <r>
          <rPr>
            <b/>
            <sz val="9"/>
            <color indexed="81"/>
            <rFont val="Tahoma"/>
            <family val="2"/>
          </rPr>
          <t>Oculto</t>
        </r>
      </text>
    </comment>
    <comment ref="Y15" authorId="1" shapeId="0">
      <text>
        <r>
          <rPr>
            <b/>
            <sz val="9"/>
            <color indexed="81"/>
            <rFont val="Tahoma"/>
            <family val="2"/>
          </rPr>
          <t>Oculto</t>
        </r>
      </text>
    </comment>
    <comment ref="AD15" authorId="1" shapeId="0">
      <text>
        <r>
          <rPr>
            <b/>
            <sz val="9"/>
            <color indexed="81"/>
            <rFont val="Tahoma"/>
            <family val="2"/>
          </rPr>
          <t>Oculto</t>
        </r>
      </text>
    </comment>
    <comment ref="AE15" authorId="3" shapeId="0">
      <text>
        <r>
          <rPr>
            <b/>
            <sz val="9"/>
            <color indexed="81"/>
            <rFont val="Tahoma"/>
            <family val="2"/>
          </rPr>
          <t>Oculto</t>
        </r>
      </text>
    </comment>
    <comment ref="AG15" authorId="1" shapeId="0">
      <text>
        <r>
          <rPr>
            <b/>
            <sz val="9"/>
            <color indexed="81"/>
            <rFont val="Tahoma"/>
            <family val="2"/>
          </rPr>
          <t>Oculto</t>
        </r>
      </text>
    </comment>
    <comment ref="AH15" authorId="1" shapeId="0">
      <text>
        <r>
          <rPr>
            <b/>
            <sz val="9"/>
            <color indexed="81"/>
            <rFont val="Tahoma"/>
            <family val="2"/>
          </rPr>
          <t>Oculto</t>
        </r>
      </text>
    </comment>
    <comment ref="AI15" authorId="1" shapeId="0">
      <text>
        <r>
          <rPr>
            <b/>
            <sz val="9"/>
            <color indexed="81"/>
            <rFont val="Tahoma"/>
            <family val="2"/>
          </rPr>
          <t>Oculto</t>
        </r>
      </text>
    </comment>
    <comment ref="AJ15" authorId="3" shapeId="0">
      <text>
        <r>
          <rPr>
            <b/>
            <sz val="9"/>
            <color indexed="81"/>
            <rFont val="Tahoma"/>
            <family val="2"/>
          </rPr>
          <t>Oculto</t>
        </r>
      </text>
    </comment>
    <comment ref="AK15" authorId="1" shapeId="0">
      <text>
        <r>
          <rPr>
            <b/>
            <sz val="9"/>
            <color indexed="81"/>
            <rFont val="Tahoma"/>
            <family val="2"/>
          </rPr>
          <t>Oculto</t>
        </r>
      </text>
    </comment>
    <comment ref="AL15" authorId="1" shapeId="0">
      <text>
        <r>
          <rPr>
            <b/>
            <sz val="9"/>
            <color indexed="81"/>
            <rFont val="Tahoma"/>
            <family val="2"/>
          </rPr>
          <t>Oculto</t>
        </r>
      </text>
    </comment>
    <comment ref="AN15" authorId="1" shapeId="0">
      <text>
        <r>
          <rPr>
            <b/>
            <sz val="9"/>
            <color indexed="81"/>
            <rFont val="Tahoma"/>
            <family val="2"/>
          </rPr>
          <t>Oculto</t>
        </r>
      </text>
    </comment>
    <comment ref="AO15" authorId="1" shapeId="0">
      <text>
        <r>
          <rPr>
            <b/>
            <sz val="9"/>
            <color indexed="81"/>
            <rFont val="Tahoma"/>
            <family val="2"/>
          </rPr>
          <t>Oculto</t>
        </r>
      </text>
    </comment>
    <comment ref="AP15" authorId="1" shapeId="0">
      <text>
        <r>
          <rPr>
            <b/>
            <sz val="9"/>
            <color indexed="81"/>
            <rFont val="Tahoma"/>
            <family val="2"/>
          </rPr>
          <t>Oculto</t>
        </r>
      </text>
    </comment>
    <comment ref="AQ15" authorId="1" shapeId="0">
      <text>
        <r>
          <rPr>
            <b/>
            <sz val="9"/>
            <color indexed="81"/>
            <rFont val="Tahoma"/>
            <family val="2"/>
          </rPr>
          <t>Oculto</t>
        </r>
      </text>
    </comment>
    <comment ref="AR15" authorId="1" shapeId="0">
      <text>
        <r>
          <rPr>
            <b/>
            <sz val="9"/>
            <color indexed="81"/>
            <rFont val="Tahoma"/>
            <family val="2"/>
          </rPr>
          <t>Oculto</t>
        </r>
      </text>
    </comment>
    <comment ref="AW15" authorId="1" shapeId="0">
      <text>
        <r>
          <rPr>
            <b/>
            <sz val="9"/>
            <color indexed="81"/>
            <rFont val="Tahoma"/>
            <family val="2"/>
          </rPr>
          <t>Oculto</t>
        </r>
      </text>
    </comment>
    <comment ref="AX15" authorId="1" shapeId="0">
      <text>
        <r>
          <rPr>
            <b/>
            <sz val="9"/>
            <color indexed="81"/>
            <rFont val="Tahoma"/>
            <family val="2"/>
          </rPr>
          <t>Oculto</t>
        </r>
      </text>
    </comment>
    <comment ref="AY15" authorId="1" shapeId="0">
      <text>
        <r>
          <rPr>
            <b/>
            <sz val="9"/>
            <color indexed="81"/>
            <rFont val="Tahoma"/>
            <family val="2"/>
          </rPr>
          <t>Oculto</t>
        </r>
      </text>
    </comment>
    <comment ref="AZ15" authorId="1" shapeId="0">
      <text>
        <r>
          <rPr>
            <b/>
            <sz val="9"/>
            <color indexed="81"/>
            <rFont val="Tahoma"/>
            <family val="2"/>
          </rPr>
          <t>Oculto</t>
        </r>
      </text>
    </comment>
    <comment ref="BA15" authorId="1" shapeId="0">
      <text>
        <r>
          <rPr>
            <b/>
            <sz val="9"/>
            <color indexed="81"/>
            <rFont val="Tahoma"/>
            <family val="2"/>
          </rPr>
          <t>Oculto</t>
        </r>
      </text>
    </comment>
    <comment ref="BB15" authorId="1" shapeId="0">
      <text>
        <r>
          <rPr>
            <b/>
            <sz val="9"/>
            <color indexed="81"/>
            <rFont val="Tahoma"/>
            <family val="2"/>
          </rPr>
          <t>Oculto</t>
        </r>
      </text>
    </comment>
    <comment ref="BK15" authorId="1" shapeId="0">
      <text>
        <r>
          <rPr>
            <b/>
            <sz val="9"/>
            <color indexed="81"/>
            <rFont val="Tahoma"/>
            <family val="2"/>
          </rPr>
          <t>Oculto</t>
        </r>
      </text>
    </comment>
    <comment ref="BR15" authorId="1" shapeId="0">
      <text>
        <r>
          <rPr>
            <b/>
            <sz val="9"/>
            <color indexed="81"/>
            <rFont val="Tahoma"/>
            <family val="2"/>
          </rPr>
          <t>Oculto</t>
        </r>
      </text>
    </comment>
    <comment ref="BS15" authorId="1" shapeId="0">
      <text>
        <r>
          <rPr>
            <b/>
            <sz val="9"/>
            <color indexed="81"/>
            <rFont val="Tahoma"/>
            <family val="2"/>
          </rPr>
          <t>Oculto</t>
        </r>
      </text>
    </comment>
    <comment ref="E16" authorId="1" shapeId="0">
      <text>
        <r>
          <rPr>
            <b/>
            <sz val="9"/>
            <color indexed="81"/>
            <rFont val="Tahoma"/>
            <family val="2"/>
          </rPr>
          <t>Oculto</t>
        </r>
      </text>
    </comment>
    <comment ref="H16" authorId="1" shapeId="0">
      <text>
        <r>
          <rPr>
            <b/>
            <sz val="9"/>
            <color indexed="81"/>
            <rFont val="Tahoma"/>
            <family val="2"/>
          </rPr>
          <t>Oculto</t>
        </r>
      </text>
    </comment>
    <comment ref="J16" authorId="1" shapeId="0">
      <text>
        <r>
          <rPr>
            <b/>
            <sz val="9"/>
            <color indexed="81"/>
            <rFont val="Tahoma"/>
            <family val="2"/>
          </rPr>
          <t>Oculto</t>
        </r>
      </text>
    </comment>
    <comment ref="K16" authorId="1" shapeId="0">
      <text>
        <r>
          <rPr>
            <b/>
            <sz val="9"/>
            <color indexed="81"/>
            <rFont val="Tahoma"/>
            <family val="2"/>
          </rPr>
          <t>Oculto</t>
        </r>
      </text>
    </comment>
    <comment ref="M16" authorId="1" shapeId="0">
      <text>
        <r>
          <rPr>
            <b/>
            <sz val="9"/>
            <color indexed="81"/>
            <rFont val="Tahoma"/>
            <family val="2"/>
          </rPr>
          <t>Oculto</t>
        </r>
      </text>
    </comment>
    <comment ref="N16" authorId="1" shapeId="0">
      <text>
        <r>
          <rPr>
            <b/>
            <sz val="9"/>
            <color indexed="81"/>
            <rFont val="Tahoma"/>
            <family val="2"/>
          </rPr>
          <t>Oculto</t>
        </r>
      </text>
    </comment>
    <comment ref="O16" authorId="1" shapeId="0">
      <text>
        <r>
          <rPr>
            <b/>
            <sz val="9"/>
            <color indexed="81"/>
            <rFont val="Tahoma"/>
            <family val="2"/>
          </rPr>
          <t>Oculto</t>
        </r>
      </text>
    </comment>
    <comment ref="P16" authorId="1" shapeId="0">
      <text>
        <r>
          <rPr>
            <b/>
            <sz val="9"/>
            <color indexed="81"/>
            <rFont val="Tahoma"/>
            <family val="2"/>
          </rPr>
          <t>Oculto</t>
        </r>
      </text>
    </comment>
    <comment ref="S16" authorId="1" shapeId="0">
      <text>
        <r>
          <rPr>
            <b/>
            <sz val="9"/>
            <color indexed="81"/>
            <rFont val="Tahoma"/>
            <family val="2"/>
          </rPr>
          <t>Oculto</t>
        </r>
      </text>
    </comment>
    <comment ref="T16" authorId="1" shapeId="0">
      <text>
        <r>
          <rPr>
            <b/>
            <sz val="9"/>
            <color indexed="81"/>
            <rFont val="Tahoma"/>
            <family val="2"/>
          </rPr>
          <t>Oculto</t>
        </r>
      </text>
    </comment>
    <comment ref="U16" authorId="1" shapeId="0">
      <text>
        <r>
          <rPr>
            <b/>
            <sz val="9"/>
            <color indexed="81"/>
            <rFont val="Tahoma"/>
            <family val="2"/>
          </rPr>
          <t>Oculto</t>
        </r>
      </text>
    </comment>
    <comment ref="Y16" authorId="1" shapeId="0">
      <text>
        <r>
          <rPr>
            <b/>
            <sz val="9"/>
            <color indexed="81"/>
            <rFont val="Tahoma"/>
            <family val="2"/>
          </rPr>
          <t>Oculto</t>
        </r>
      </text>
    </comment>
    <comment ref="AD16" authorId="1" shapeId="0">
      <text>
        <r>
          <rPr>
            <b/>
            <sz val="9"/>
            <color indexed="81"/>
            <rFont val="Tahoma"/>
            <family val="2"/>
          </rPr>
          <t>Oculto</t>
        </r>
      </text>
    </comment>
    <comment ref="AE16" authorId="3" shapeId="0">
      <text>
        <r>
          <rPr>
            <b/>
            <sz val="9"/>
            <color indexed="81"/>
            <rFont val="Tahoma"/>
            <family val="2"/>
          </rPr>
          <t>Oculto</t>
        </r>
      </text>
    </comment>
    <comment ref="AG16" authorId="1" shapeId="0">
      <text>
        <r>
          <rPr>
            <b/>
            <sz val="9"/>
            <color indexed="81"/>
            <rFont val="Tahoma"/>
            <family val="2"/>
          </rPr>
          <t>Oculto</t>
        </r>
      </text>
    </comment>
    <comment ref="AH16" authorId="1" shapeId="0">
      <text>
        <r>
          <rPr>
            <b/>
            <sz val="9"/>
            <color indexed="81"/>
            <rFont val="Tahoma"/>
            <family val="2"/>
          </rPr>
          <t>Oculto</t>
        </r>
      </text>
    </comment>
    <comment ref="AI16" authorId="1" shapeId="0">
      <text>
        <r>
          <rPr>
            <b/>
            <sz val="9"/>
            <color indexed="81"/>
            <rFont val="Tahoma"/>
            <family val="2"/>
          </rPr>
          <t>Oculto</t>
        </r>
      </text>
    </comment>
    <comment ref="AJ16" authorId="3" shapeId="0">
      <text>
        <r>
          <rPr>
            <b/>
            <sz val="9"/>
            <color indexed="81"/>
            <rFont val="Tahoma"/>
            <family val="2"/>
          </rPr>
          <t>Oculto</t>
        </r>
      </text>
    </comment>
    <comment ref="AK16" authorId="1" shapeId="0">
      <text>
        <r>
          <rPr>
            <b/>
            <sz val="9"/>
            <color indexed="81"/>
            <rFont val="Tahoma"/>
            <family val="2"/>
          </rPr>
          <t>Oculto</t>
        </r>
      </text>
    </comment>
    <comment ref="AL16" authorId="1" shapeId="0">
      <text>
        <r>
          <rPr>
            <b/>
            <sz val="9"/>
            <color indexed="81"/>
            <rFont val="Tahoma"/>
            <family val="2"/>
          </rPr>
          <t>Oculto</t>
        </r>
      </text>
    </comment>
    <comment ref="AN16" authorId="1" shapeId="0">
      <text>
        <r>
          <rPr>
            <b/>
            <sz val="9"/>
            <color indexed="81"/>
            <rFont val="Tahoma"/>
            <family val="2"/>
          </rPr>
          <t>Oculto</t>
        </r>
      </text>
    </comment>
    <comment ref="AO16" authorId="1" shapeId="0">
      <text>
        <r>
          <rPr>
            <b/>
            <sz val="9"/>
            <color indexed="81"/>
            <rFont val="Tahoma"/>
            <family val="2"/>
          </rPr>
          <t>Oculto</t>
        </r>
      </text>
    </comment>
    <comment ref="AP16" authorId="1" shapeId="0">
      <text>
        <r>
          <rPr>
            <b/>
            <sz val="9"/>
            <color indexed="81"/>
            <rFont val="Tahoma"/>
            <family val="2"/>
          </rPr>
          <t>Oculto</t>
        </r>
      </text>
    </comment>
    <comment ref="AQ16" authorId="1" shapeId="0">
      <text>
        <r>
          <rPr>
            <b/>
            <sz val="9"/>
            <color indexed="81"/>
            <rFont val="Tahoma"/>
            <family val="2"/>
          </rPr>
          <t>Oculto</t>
        </r>
      </text>
    </comment>
    <comment ref="AR16" authorId="1" shapeId="0">
      <text>
        <r>
          <rPr>
            <b/>
            <sz val="9"/>
            <color indexed="81"/>
            <rFont val="Tahoma"/>
            <family val="2"/>
          </rPr>
          <t>Oculto</t>
        </r>
      </text>
    </comment>
    <comment ref="AW16" authorId="1" shapeId="0">
      <text>
        <r>
          <rPr>
            <b/>
            <sz val="9"/>
            <color indexed="81"/>
            <rFont val="Tahoma"/>
            <family val="2"/>
          </rPr>
          <t>Oculto</t>
        </r>
      </text>
    </comment>
    <comment ref="AX16" authorId="1" shapeId="0">
      <text>
        <r>
          <rPr>
            <b/>
            <sz val="9"/>
            <color indexed="81"/>
            <rFont val="Tahoma"/>
            <family val="2"/>
          </rPr>
          <t>Oculto</t>
        </r>
      </text>
    </comment>
    <comment ref="AY16" authorId="1" shapeId="0">
      <text>
        <r>
          <rPr>
            <b/>
            <sz val="9"/>
            <color indexed="81"/>
            <rFont val="Tahoma"/>
            <family val="2"/>
          </rPr>
          <t>Oculto</t>
        </r>
      </text>
    </comment>
    <comment ref="AZ16" authorId="1" shapeId="0">
      <text>
        <r>
          <rPr>
            <b/>
            <sz val="9"/>
            <color indexed="81"/>
            <rFont val="Tahoma"/>
            <family val="2"/>
          </rPr>
          <t>Oculto</t>
        </r>
      </text>
    </comment>
    <comment ref="BA16" authorId="1" shapeId="0">
      <text>
        <r>
          <rPr>
            <b/>
            <sz val="9"/>
            <color indexed="81"/>
            <rFont val="Tahoma"/>
            <family val="2"/>
          </rPr>
          <t>Oculto</t>
        </r>
      </text>
    </comment>
    <comment ref="BB16" authorId="1" shapeId="0">
      <text>
        <r>
          <rPr>
            <b/>
            <sz val="9"/>
            <color indexed="81"/>
            <rFont val="Tahoma"/>
            <family val="2"/>
          </rPr>
          <t>Oculto</t>
        </r>
      </text>
    </comment>
    <comment ref="BK16" authorId="1" shapeId="0">
      <text>
        <r>
          <rPr>
            <b/>
            <sz val="9"/>
            <color indexed="81"/>
            <rFont val="Tahoma"/>
            <family val="2"/>
          </rPr>
          <t>Oculto</t>
        </r>
      </text>
    </comment>
    <comment ref="BR16" authorId="1" shapeId="0">
      <text>
        <r>
          <rPr>
            <b/>
            <sz val="9"/>
            <color indexed="81"/>
            <rFont val="Tahoma"/>
            <family val="2"/>
          </rPr>
          <t>Oculto</t>
        </r>
      </text>
    </comment>
    <comment ref="BS16" authorId="1" shapeId="0">
      <text>
        <r>
          <rPr>
            <b/>
            <sz val="9"/>
            <color indexed="81"/>
            <rFont val="Tahoma"/>
            <family val="2"/>
          </rPr>
          <t>Oculto</t>
        </r>
      </text>
    </comment>
    <comment ref="E17" authorId="1" shapeId="0">
      <text>
        <r>
          <rPr>
            <b/>
            <sz val="9"/>
            <color indexed="81"/>
            <rFont val="Tahoma"/>
            <family val="2"/>
          </rPr>
          <t>Oculto</t>
        </r>
      </text>
    </comment>
    <comment ref="H17" authorId="1" shapeId="0">
      <text>
        <r>
          <rPr>
            <b/>
            <sz val="9"/>
            <color indexed="81"/>
            <rFont val="Tahoma"/>
            <family val="2"/>
          </rPr>
          <t>Oculto</t>
        </r>
      </text>
    </comment>
    <comment ref="J17" authorId="1" shapeId="0">
      <text>
        <r>
          <rPr>
            <b/>
            <sz val="9"/>
            <color indexed="81"/>
            <rFont val="Tahoma"/>
            <family val="2"/>
          </rPr>
          <t>Oculto</t>
        </r>
      </text>
    </comment>
    <comment ref="K17" authorId="1" shapeId="0">
      <text>
        <r>
          <rPr>
            <b/>
            <sz val="9"/>
            <color indexed="81"/>
            <rFont val="Tahoma"/>
            <family val="2"/>
          </rPr>
          <t>Oculto</t>
        </r>
      </text>
    </comment>
    <comment ref="M17" authorId="1" shapeId="0">
      <text>
        <r>
          <rPr>
            <b/>
            <sz val="9"/>
            <color indexed="81"/>
            <rFont val="Tahoma"/>
            <family val="2"/>
          </rPr>
          <t>Oculto</t>
        </r>
      </text>
    </comment>
    <comment ref="N17" authorId="1" shapeId="0">
      <text>
        <r>
          <rPr>
            <b/>
            <sz val="9"/>
            <color indexed="81"/>
            <rFont val="Tahoma"/>
            <family val="2"/>
          </rPr>
          <t>Oculto</t>
        </r>
      </text>
    </comment>
    <comment ref="U17" authorId="1" shapeId="0">
      <text>
        <r>
          <rPr>
            <b/>
            <sz val="9"/>
            <color indexed="81"/>
            <rFont val="Tahoma"/>
            <family val="2"/>
          </rPr>
          <t>Oculto</t>
        </r>
      </text>
    </comment>
    <comment ref="Y17" authorId="1" shapeId="0">
      <text>
        <r>
          <rPr>
            <b/>
            <sz val="9"/>
            <color indexed="81"/>
            <rFont val="Tahoma"/>
            <family val="2"/>
          </rPr>
          <t>Oculto</t>
        </r>
      </text>
    </comment>
    <comment ref="AD17" authorId="1" shapeId="0">
      <text>
        <r>
          <rPr>
            <b/>
            <sz val="9"/>
            <color indexed="81"/>
            <rFont val="Tahoma"/>
            <family val="2"/>
          </rPr>
          <t>Oculto</t>
        </r>
      </text>
    </comment>
    <comment ref="AE17" authorId="3" shapeId="0">
      <text>
        <r>
          <rPr>
            <b/>
            <sz val="9"/>
            <color indexed="81"/>
            <rFont val="Tahoma"/>
            <family val="2"/>
          </rPr>
          <t>Oculto</t>
        </r>
      </text>
    </comment>
    <comment ref="AG17" authorId="1" shapeId="0">
      <text>
        <r>
          <rPr>
            <b/>
            <sz val="9"/>
            <color indexed="81"/>
            <rFont val="Tahoma"/>
            <family val="2"/>
          </rPr>
          <t>Oculto</t>
        </r>
      </text>
    </comment>
    <comment ref="AH17" authorId="1" shapeId="0">
      <text>
        <r>
          <rPr>
            <b/>
            <sz val="9"/>
            <color indexed="81"/>
            <rFont val="Tahoma"/>
            <family val="2"/>
          </rPr>
          <t>Oculto</t>
        </r>
      </text>
    </comment>
    <comment ref="AI17" authorId="1" shapeId="0">
      <text>
        <r>
          <rPr>
            <b/>
            <sz val="9"/>
            <color indexed="81"/>
            <rFont val="Tahoma"/>
            <family val="2"/>
          </rPr>
          <t>Oculto</t>
        </r>
      </text>
    </comment>
    <comment ref="AJ17" authorId="3" shapeId="0">
      <text>
        <r>
          <rPr>
            <b/>
            <sz val="9"/>
            <color indexed="81"/>
            <rFont val="Tahoma"/>
            <family val="2"/>
          </rPr>
          <t>Oculto</t>
        </r>
      </text>
    </comment>
    <comment ref="AK17" authorId="1" shapeId="0">
      <text>
        <r>
          <rPr>
            <b/>
            <sz val="9"/>
            <color indexed="81"/>
            <rFont val="Tahoma"/>
            <family val="2"/>
          </rPr>
          <t>Oculto</t>
        </r>
      </text>
    </comment>
    <comment ref="AL17" authorId="1" shapeId="0">
      <text>
        <r>
          <rPr>
            <b/>
            <sz val="9"/>
            <color indexed="81"/>
            <rFont val="Tahoma"/>
            <family val="2"/>
          </rPr>
          <t>Oculto</t>
        </r>
      </text>
    </comment>
    <comment ref="AN17" authorId="1" shapeId="0">
      <text>
        <r>
          <rPr>
            <b/>
            <sz val="9"/>
            <color indexed="81"/>
            <rFont val="Tahoma"/>
            <family val="2"/>
          </rPr>
          <t>Oculto</t>
        </r>
      </text>
    </comment>
    <comment ref="AO17" authorId="1" shapeId="0">
      <text>
        <r>
          <rPr>
            <b/>
            <sz val="9"/>
            <color indexed="81"/>
            <rFont val="Tahoma"/>
            <family val="2"/>
          </rPr>
          <t>Oculto</t>
        </r>
      </text>
    </comment>
    <comment ref="AP17" authorId="1" shapeId="0">
      <text>
        <r>
          <rPr>
            <b/>
            <sz val="9"/>
            <color indexed="81"/>
            <rFont val="Tahoma"/>
            <family val="2"/>
          </rPr>
          <t>Oculto</t>
        </r>
      </text>
    </comment>
    <comment ref="AQ17" authorId="1" shapeId="0">
      <text>
        <r>
          <rPr>
            <b/>
            <sz val="9"/>
            <color indexed="81"/>
            <rFont val="Tahoma"/>
            <family val="2"/>
          </rPr>
          <t>Oculto</t>
        </r>
      </text>
    </comment>
    <comment ref="AR17" authorId="1" shapeId="0">
      <text>
        <r>
          <rPr>
            <b/>
            <sz val="9"/>
            <color indexed="81"/>
            <rFont val="Tahoma"/>
            <family val="2"/>
          </rPr>
          <t>Oculto</t>
        </r>
      </text>
    </comment>
    <comment ref="AW17" authorId="1" shapeId="0">
      <text>
        <r>
          <rPr>
            <b/>
            <sz val="9"/>
            <color indexed="81"/>
            <rFont val="Tahoma"/>
            <family val="2"/>
          </rPr>
          <t>Oculto</t>
        </r>
      </text>
    </comment>
    <comment ref="AX17" authorId="1" shapeId="0">
      <text>
        <r>
          <rPr>
            <b/>
            <sz val="9"/>
            <color indexed="81"/>
            <rFont val="Tahoma"/>
            <family val="2"/>
          </rPr>
          <t>Oculto</t>
        </r>
      </text>
    </comment>
    <comment ref="AY17" authorId="1" shapeId="0">
      <text>
        <r>
          <rPr>
            <b/>
            <sz val="9"/>
            <color indexed="81"/>
            <rFont val="Tahoma"/>
            <family val="2"/>
          </rPr>
          <t>Oculto</t>
        </r>
      </text>
    </comment>
    <comment ref="AZ17" authorId="1" shapeId="0">
      <text>
        <r>
          <rPr>
            <b/>
            <sz val="9"/>
            <color indexed="81"/>
            <rFont val="Tahoma"/>
            <family val="2"/>
          </rPr>
          <t>Oculto</t>
        </r>
      </text>
    </comment>
    <comment ref="BA17" authorId="1" shapeId="0">
      <text>
        <r>
          <rPr>
            <b/>
            <sz val="9"/>
            <color indexed="81"/>
            <rFont val="Tahoma"/>
            <family val="2"/>
          </rPr>
          <t>Oculto</t>
        </r>
      </text>
    </comment>
    <comment ref="BB17" authorId="1" shapeId="0">
      <text>
        <r>
          <rPr>
            <b/>
            <sz val="9"/>
            <color indexed="81"/>
            <rFont val="Tahoma"/>
            <family val="2"/>
          </rPr>
          <t>Oculto</t>
        </r>
      </text>
    </comment>
    <comment ref="BK17" authorId="1" shapeId="0">
      <text>
        <r>
          <rPr>
            <b/>
            <sz val="9"/>
            <color indexed="81"/>
            <rFont val="Tahoma"/>
            <family val="2"/>
          </rPr>
          <t>Oculto</t>
        </r>
      </text>
    </comment>
    <comment ref="BR17" authorId="1" shapeId="0">
      <text>
        <r>
          <rPr>
            <b/>
            <sz val="9"/>
            <color indexed="81"/>
            <rFont val="Tahoma"/>
            <family val="2"/>
          </rPr>
          <t>Oculto</t>
        </r>
      </text>
    </comment>
    <comment ref="BS17" authorId="1" shapeId="0">
      <text>
        <r>
          <rPr>
            <b/>
            <sz val="9"/>
            <color indexed="81"/>
            <rFont val="Tahoma"/>
            <family val="2"/>
          </rPr>
          <t>Oculto</t>
        </r>
      </text>
    </comment>
  </commentList>
</comments>
</file>

<file path=xl/comments4.xml><?xml version="1.0" encoding="utf-8"?>
<comments xmlns="http://schemas.openxmlformats.org/spreadsheetml/2006/main">
  <authors>
    <author>Diez Rodriguez, Susana</author>
    <author>Hernandez Mayor, Jose Manuel</author>
  </authors>
  <commentList>
    <comment ref="E9" authorId="0" shapeId="0">
      <text>
        <r>
          <rPr>
            <b/>
            <sz val="9"/>
            <color indexed="81"/>
            <rFont val="Tahoma"/>
            <family val="2"/>
          </rPr>
          <t>Oculto</t>
        </r>
      </text>
    </comment>
    <comment ref="G9" authorId="0" shapeId="0">
      <text>
        <r>
          <rPr>
            <b/>
            <sz val="9"/>
            <color indexed="81"/>
            <rFont val="Tahoma"/>
            <family val="2"/>
          </rPr>
          <t>Oculto</t>
        </r>
      </text>
    </comment>
    <comment ref="H9" authorId="0" shapeId="0">
      <text>
        <r>
          <rPr>
            <b/>
            <sz val="9"/>
            <color indexed="81"/>
            <rFont val="Tahoma"/>
            <family val="2"/>
          </rPr>
          <t>Oculto</t>
        </r>
      </text>
    </comment>
    <comment ref="I9" authorId="1" shapeId="0">
      <text>
        <r>
          <rPr>
            <b/>
            <sz val="9"/>
            <color indexed="81"/>
            <rFont val="Tahoma"/>
            <family val="2"/>
          </rPr>
          <t>Oculto</t>
        </r>
      </text>
    </comment>
    <comment ref="K9" authorId="0" shapeId="0">
      <text>
        <r>
          <rPr>
            <b/>
            <sz val="9"/>
            <color indexed="81"/>
            <rFont val="Tahoma"/>
            <family val="2"/>
          </rPr>
          <t>Oculto</t>
        </r>
      </text>
    </comment>
    <comment ref="L9" authorId="0" shapeId="0">
      <text>
        <r>
          <rPr>
            <b/>
            <sz val="9"/>
            <color indexed="81"/>
            <rFont val="Tahoma"/>
            <family val="2"/>
          </rPr>
          <t>Oculto</t>
        </r>
      </text>
    </comment>
    <comment ref="M9" authorId="0" shapeId="0">
      <text>
        <r>
          <rPr>
            <b/>
            <sz val="9"/>
            <color indexed="81"/>
            <rFont val="Tahoma"/>
            <family val="2"/>
          </rPr>
          <t>Oculto</t>
        </r>
      </text>
    </comment>
    <comment ref="O9" authorId="0" shapeId="0">
      <text>
        <r>
          <rPr>
            <b/>
            <sz val="9"/>
            <color indexed="81"/>
            <rFont val="Tahoma"/>
            <family val="2"/>
          </rPr>
          <t>Oculto</t>
        </r>
      </text>
    </comment>
    <comment ref="P9" authorId="0" shapeId="0">
      <text>
        <r>
          <rPr>
            <b/>
            <sz val="9"/>
            <color indexed="81"/>
            <rFont val="Tahoma"/>
            <family val="2"/>
          </rPr>
          <t>Oculto</t>
        </r>
      </text>
    </comment>
    <comment ref="Q9" authorId="0" shapeId="0">
      <text>
        <r>
          <rPr>
            <b/>
            <sz val="9"/>
            <color indexed="81"/>
            <rFont val="Tahoma"/>
            <family val="2"/>
          </rPr>
          <t>Oculto</t>
        </r>
      </text>
    </comment>
    <comment ref="AB9" authorId="0" shapeId="0">
      <text>
        <r>
          <rPr>
            <b/>
            <sz val="9"/>
            <color indexed="81"/>
            <rFont val="Tahoma"/>
            <family val="2"/>
          </rPr>
          <t>Oculto</t>
        </r>
      </text>
    </comment>
    <comment ref="AC9" authorId="0" shapeId="0">
      <text>
        <r>
          <rPr>
            <b/>
            <sz val="9"/>
            <color indexed="81"/>
            <rFont val="Tahoma"/>
            <family val="2"/>
          </rPr>
          <t>Oculto</t>
        </r>
      </text>
    </comment>
    <comment ref="AD9" authorId="0" shapeId="0">
      <text>
        <r>
          <rPr>
            <b/>
            <sz val="9"/>
            <color indexed="81"/>
            <rFont val="Tahoma"/>
            <family val="2"/>
          </rPr>
          <t>Oculto</t>
        </r>
      </text>
    </comment>
    <comment ref="AH9" authorId="0" shapeId="0">
      <text>
        <r>
          <rPr>
            <b/>
            <sz val="9"/>
            <color indexed="81"/>
            <rFont val="Tahoma"/>
            <family val="2"/>
          </rPr>
          <t>Oculto</t>
        </r>
      </text>
    </comment>
    <comment ref="AI9" authorId="0" shapeId="0">
      <text>
        <r>
          <rPr>
            <b/>
            <sz val="9"/>
            <color indexed="81"/>
            <rFont val="Tahoma"/>
            <family val="2"/>
          </rPr>
          <t>Oculto</t>
        </r>
      </text>
    </comment>
    <comment ref="AN9" authorId="0" shapeId="0">
      <text>
        <r>
          <rPr>
            <b/>
            <sz val="9"/>
            <color indexed="81"/>
            <rFont val="Tahoma"/>
            <family val="2"/>
          </rPr>
          <t>Oculto</t>
        </r>
      </text>
    </comment>
    <comment ref="AS9" authorId="0" shapeId="0">
      <text>
        <r>
          <rPr>
            <b/>
            <sz val="9"/>
            <color indexed="81"/>
            <rFont val="Tahoma"/>
            <family val="2"/>
          </rPr>
          <t>Oculto</t>
        </r>
      </text>
    </comment>
    <comment ref="AT9" authorId="0" shapeId="0">
      <text>
        <r>
          <rPr>
            <b/>
            <sz val="9"/>
            <color indexed="81"/>
            <rFont val="Tahoma"/>
            <family val="2"/>
          </rPr>
          <t>Oculto</t>
        </r>
      </text>
    </comment>
    <comment ref="J10" authorId="0" shapeId="0">
      <text>
        <r>
          <rPr>
            <b/>
            <sz val="9"/>
            <color indexed="81"/>
            <rFont val="Tahoma"/>
            <family val="2"/>
          </rPr>
          <t>Oculto</t>
        </r>
      </text>
    </comment>
    <comment ref="V10" authorId="0" shapeId="0">
      <text>
        <r>
          <rPr>
            <b/>
            <sz val="9"/>
            <color indexed="81"/>
            <rFont val="Tahoma"/>
            <family val="2"/>
          </rPr>
          <t>Oculto</t>
        </r>
      </text>
    </comment>
    <comment ref="AC10" authorId="0" shapeId="0">
      <text>
        <r>
          <rPr>
            <b/>
            <sz val="9"/>
            <color indexed="81"/>
            <rFont val="Tahoma"/>
            <family val="2"/>
          </rPr>
          <t>Oculto</t>
        </r>
      </text>
    </comment>
    <comment ref="AD10" authorId="0" shapeId="0">
      <text>
        <r>
          <rPr>
            <b/>
            <sz val="9"/>
            <color indexed="81"/>
            <rFont val="Tahoma"/>
            <family val="2"/>
          </rPr>
          <t>Oculto</t>
        </r>
      </text>
    </comment>
    <comment ref="E11" authorId="0" shapeId="0">
      <text>
        <r>
          <rPr>
            <b/>
            <sz val="9"/>
            <color indexed="81"/>
            <rFont val="Tahoma"/>
            <family val="2"/>
          </rPr>
          <t>Oculto</t>
        </r>
      </text>
    </comment>
    <comment ref="G11" authorId="0" shapeId="0">
      <text>
        <r>
          <rPr>
            <b/>
            <sz val="9"/>
            <color indexed="81"/>
            <rFont val="Tahoma"/>
            <family val="2"/>
          </rPr>
          <t>Oculto</t>
        </r>
      </text>
    </comment>
    <comment ref="H11" authorId="0" shapeId="0">
      <text>
        <r>
          <rPr>
            <b/>
            <sz val="9"/>
            <color indexed="81"/>
            <rFont val="Tahoma"/>
            <family val="2"/>
          </rPr>
          <t>Oculto</t>
        </r>
      </text>
    </comment>
    <comment ref="J11" authorId="0" shapeId="0">
      <text>
        <r>
          <rPr>
            <b/>
            <sz val="9"/>
            <color indexed="81"/>
            <rFont val="Tahoma"/>
            <family val="2"/>
          </rPr>
          <t>Oculto</t>
        </r>
      </text>
    </comment>
    <comment ref="K11" authorId="0" shapeId="0">
      <text>
        <r>
          <rPr>
            <b/>
            <sz val="9"/>
            <color indexed="81"/>
            <rFont val="Tahoma"/>
            <family val="2"/>
          </rPr>
          <t>Oculto</t>
        </r>
      </text>
    </comment>
    <comment ref="L11" authorId="0" shapeId="0">
      <text>
        <r>
          <rPr>
            <b/>
            <sz val="9"/>
            <color indexed="81"/>
            <rFont val="Tahoma"/>
            <family val="2"/>
          </rPr>
          <t>Oculto</t>
        </r>
      </text>
    </comment>
    <comment ref="M11" authorId="0" shapeId="0">
      <text>
        <r>
          <rPr>
            <b/>
            <sz val="9"/>
            <color indexed="81"/>
            <rFont val="Tahoma"/>
            <family val="2"/>
          </rPr>
          <t>Oculto</t>
        </r>
      </text>
    </comment>
    <comment ref="O11" authorId="0" shapeId="0">
      <text>
        <r>
          <rPr>
            <b/>
            <sz val="9"/>
            <color indexed="81"/>
            <rFont val="Tahoma"/>
            <family val="2"/>
          </rPr>
          <t>Oculto</t>
        </r>
      </text>
    </comment>
    <comment ref="P11" authorId="0" shapeId="0">
      <text>
        <r>
          <rPr>
            <b/>
            <sz val="9"/>
            <color indexed="81"/>
            <rFont val="Tahoma"/>
            <family val="2"/>
          </rPr>
          <t>Oculto</t>
        </r>
      </text>
    </comment>
    <comment ref="Q11" authorId="0" shapeId="0">
      <text>
        <r>
          <rPr>
            <b/>
            <sz val="9"/>
            <color indexed="81"/>
            <rFont val="Tahoma"/>
            <family val="2"/>
          </rPr>
          <t>Oculto</t>
        </r>
      </text>
    </comment>
    <comment ref="V11" authorId="0" shapeId="0">
      <text>
        <r>
          <rPr>
            <b/>
            <sz val="9"/>
            <color indexed="81"/>
            <rFont val="Tahoma"/>
            <family val="2"/>
          </rPr>
          <t>Oculto</t>
        </r>
      </text>
    </comment>
    <comment ref="AB11" authorId="0" shapeId="0">
      <text>
        <r>
          <rPr>
            <b/>
            <sz val="9"/>
            <color indexed="81"/>
            <rFont val="Tahoma"/>
            <family val="2"/>
          </rPr>
          <t>Oculto</t>
        </r>
      </text>
    </comment>
    <comment ref="AC11" authorId="0" shapeId="0">
      <text>
        <r>
          <rPr>
            <b/>
            <sz val="9"/>
            <color indexed="81"/>
            <rFont val="Tahoma"/>
            <family val="2"/>
          </rPr>
          <t>Oculto</t>
        </r>
      </text>
    </comment>
    <comment ref="AD11" authorId="0" shapeId="0">
      <text>
        <r>
          <rPr>
            <b/>
            <sz val="9"/>
            <color indexed="81"/>
            <rFont val="Tahoma"/>
            <family val="2"/>
          </rPr>
          <t>Oculto</t>
        </r>
      </text>
    </comment>
    <comment ref="AH11" authorId="0" shapeId="0">
      <text>
        <r>
          <rPr>
            <b/>
            <sz val="9"/>
            <color indexed="81"/>
            <rFont val="Tahoma"/>
            <family val="2"/>
          </rPr>
          <t>Oculto</t>
        </r>
      </text>
    </comment>
    <comment ref="AI11" authorId="0" shapeId="0">
      <text>
        <r>
          <rPr>
            <b/>
            <sz val="9"/>
            <color indexed="81"/>
            <rFont val="Tahoma"/>
            <family val="2"/>
          </rPr>
          <t>Oculto</t>
        </r>
      </text>
    </comment>
    <comment ref="AN11" authorId="0" shapeId="0">
      <text>
        <r>
          <rPr>
            <b/>
            <sz val="9"/>
            <color indexed="81"/>
            <rFont val="Tahoma"/>
            <family val="2"/>
          </rPr>
          <t>Oculto</t>
        </r>
      </text>
    </comment>
    <comment ref="AS11" authorId="0" shapeId="0">
      <text>
        <r>
          <rPr>
            <b/>
            <sz val="9"/>
            <color indexed="81"/>
            <rFont val="Tahoma"/>
            <family val="2"/>
          </rPr>
          <t>Oculto</t>
        </r>
      </text>
    </comment>
    <comment ref="AT11" authorId="0" shapeId="0">
      <text>
        <r>
          <rPr>
            <b/>
            <sz val="9"/>
            <color indexed="81"/>
            <rFont val="Tahoma"/>
            <family val="2"/>
          </rPr>
          <t>Oculto</t>
        </r>
      </text>
    </comment>
    <comment ref="E12" authorId="0" shapeId="0">
      <text>
        <r>
          <rPr>
            <b/>
            <sz val="9"/>
            <color indexed="81"/>
            <rFont val="Tahoma"/>
            <family val="2"/>
          </rPr>
          <t>Oculto</t>
        </r>
      </text>
    </comment>
    <comment ref="G12" authorId="0" shapeId="0">
      <text>
        <r>
          <rPr>
            <b/>
            <sz val="9"/>
            <color indexed="81"/>
            <rFont val="Tahoma"/>
            <family val="2"/>
          </rPr>
          <t>Oculto</t>
        </r>
      </text>
    </comment>
    <comment ref="H12" authorId="0" shapeId="0">
      <text>
        <r>
          <rPr>
            <b/>
            <sz val="9"/>
            <color indexed="81"/>
            <rFont val="Tahoma"/>
            <family val="2"/>
          </rPr>
          <t>Oculto</t>
        </r>
      </text>
    </comment>
    <comment ref="J12" authorId="1" shapeId="0">
      <text>
        <r>
          <rPr>
            <b/>
            <sz val="9"/>
            <color indexed="81"/>
            <rFont val="Tahoma"/>
            <family val="2"/>
          </rPr>
          <t>Oculto</t>
        </r>
      </text>
    </comment>
    <comment ref="K12" authorId="0" shapeId="0">
      <text>
        <r>
          <rPr>
            <b/>
            <sz val="9"/>
            <color indexed="81"/>
            <rFont val="Tahoma"/>
            <family val="2"/>
          </rPr>
          <t>Oculto</t>
        </r>
      </text>
    </comment>
    <comment ref="L12" authorId="0" shapeId="0">
      <text>
        <r>
          <rPr>
            <b/>
            <sz val="9"/>
            <color indexed="81"/>
            <rFont val="Tahoma"/>
            <family val="2"/>
          </rPr>
          <t>Oculto</t>
        </r>
      </text>
    </comment>
    <comment ref="M12" authorId="0" shapeId="0">
      <text>
        <r>
          <rPr>
            <b/>
            <sz val="9"/>
            <color indexed="81"/>
            <rFont val="Tahoma"/>
            <family val="2"/>
          </rPr>
          <t>Oculto</t>
        </r>
      </text>
    </comment>
    <comment ref="O12" authorId="0" shapeId="0">
      <text>
        <r>
          <rPr>
            <b/>
            <sz val="9"/>
            <color indexed="81"/>
            <rFont val="Tahoma"/>
            <family val="2"/>
          </rPr>
          <t>Oculto</t>
        </r>
      </text>
    </comment>
    <comment ref="P12" authorId="0" shapeId="0">
      <text>
        <r>
          <rPr>
            <b/>
            <sz val="9"/>
            <color indexed="81"/>
            <rFont val="Tahoma"/>
            <family val="2"/>
          </rPr>
          <t>Oculto</t>
        </r>
      </text>
    </comment>
    <comment ref="Q12" authorId="0" shapeId="0">
      <text>
        <r>
          <rPr>
            <b/>
            <sz val="9"/>
            <color indexed="81"/>
            <rFont val="Tahoma"/>
            <family val="2"/>
          </rPr>
          <t>Oculto</t>
        </r>
      </text>
    </comment>
    <comment ref="AB12" authorId="0" shapeId="0">
      <text>
        <r>
          <rPr>
            <b/>
            <sz val="9"/>
            <color indexed="81"/>
            <rFont val="Tahoma"/>
            <family val="2"/>
          </rPr>
          <t>Oculto</t>
        </r>
      </text>
    </comment>
    <comment ref="AC12" authorId="0" shapeId="0">
      <text>
        <r>
          <rPr>
            <b/>
            <sz val="9"/>
            <color indexed="81"/>
            <rFont val="Tahoma"/>
            <family val="2"/>
          </rPr>
          <t>Oculto</t>
        </r>
      </text>
    </comment>
    <comment ref="AD12" authorId="0" shapeId="0">
      <text>
        <r>
          <rPr>
            <b/>
            <sz val="9"/>
            <color indexed="81"/>
            <rFont val="Tahoma"/>
            <family val="2"/>
          </rPr>
          <t>Oculto</t>
        </r>
      </text>
    </comment>
    <comment ref="AH12" authorId="0" shapeId="0">
      <text>
        <r>
          <rPr>
            <b/>
            <sz val="9"/>
            <color indexed="81"/>
            <rFont val="Tahoma"/>
            <family val="2"/>
          </rPr>
          <t>Oculto</t>
        </r>
      </text>
    </comment>
    <comment ref="AI12" authorId="0" shapeId="0">
      <text>
        <r>
          <rPr>
            <b/>
            <sz val="9"/>
            <color indexed="81"/>
            <rFont val="Tahoma"/>
            <family val="2"/>
          </rPr>
          <t>Oculto</t>
        </r>
      </text>
    </comment>
    <comment ref="AN12" authorId="0" shapeId="0">
      <text>
        <r>
          <rPr>
            <b/>
            <sz val="9"/>
            <color indexed="81"/>
            <rFont val="Tahoma"/>
            <family val="2"/>
          </rPr>
          <t>Oculto</t>
        </r>
      </text>
    </comment>
    <comment ref="AS12" authorId="0" shapeId="0">
      <text>
        <r>
          <rPr>
            <b/>
            <sz val="9"/>
            <color indexed="81"/>
            <rFont val="Tahoma"/>
            <family val="2"/>
          </rPr>
          <t>Oculto</t>
        </r>
      </text>
    </comment>
    <comment ref="AT12" authorId="0" shapeId="0">
      <text>
        <r>
          <rPr>
            <b/>
            <sz val="9"/>
            <color indexed="81"/>
            <rFont val="Tahoma"/>
            <family val="2"/>
          </rPr>
          <t>Oculto</t>
        </r>
      </text>
    </comment>
    <comment ref="E15" authorId="0" shapeId="0">
      <text>
        <r>
          <rPr>
            <b/>
            <sz val="9"/>
            <color indexed="81"/>
            <rFont val="Tahoma"/>
            <family val="2"/>
          </rPr>
          <t>Oculto</t>
        </r>
      </text>
    </comment>
    <comment ref="H15" authorId="0" shapeId="0">
      <text>
        <r>
          <rPr>
            <b/>
            <sz val="9"/>
            <color indexed="81"/>
            <rFont val="Tahoma"/>
            <family val="2"/>
          </rPr>
          <t>Oculto</t>
        </r>
      </text>
    </comment>
    <comment ref="J15" authorId="0" shapeId="0">
      <text>
        <r>
          <rPr>
            <b/>
            <sz val="9"/>
            <color indexed="81"/>
            <rFont val="Tahoma"/>
            <family val="2"/>
          </rPr>
          <t>Oculto</t>
        </r>
      </text>
    </comment>
    <comment ref="R15" authorId="0" shapeId="0">
      <text>
        <r>
          <rPr>
            <b/>
            <sz val="9"/>
            <color indexed="81"/>
            <rFont val="Tahoma"/>
            <family val="2"/>
          </rPr>
          <t>Oculto</t>
        </r>
      </text>
    </comment>
    <comment ref="S15" authorId="0" shapeId="0">
      <text>
        <r>
          <rPr>
            <b/>
            <sz val="9"/>
            <color indexed="81"/>
            <rFont val="Tahoma"/>
            <family val="2"/>
          </rPr>
          <t>Oculto</t>
        </r>
      </text>
    </comment>
    <comment ref="V15" authorId="0" shapeId="0">
      <text>
        <r>
          <rPr>
            <b/>
            <sz val="9"/>
            <color indexed="81"/>
            <rFont val="Tahoma"/>
            <family val="2"/>
          </rPr>
          <t>Oculto</t>
        </r>
      </text>
    </comment>
    <comment ref="AB15" authorId="0" shapeId="0">
      <text>
        <r>
          <rPr>
            <b/>
            <sz val="9"/>
            <color indexed="81"/>
            <rFont val="Tahoma"/>
            <family val="2"/>
          </rPr>
          <t>Oculto</t>
        </r>
      </text>
    </comment>
    <comment ref="AC15" authorId="0" shapeId="0">
      <text>
        <r>
          <rPr>
            <b/>
            <sz val="9"/>
            <color indexed="81"/>
            <rFont val="Tahoma"/>
            <family val="2"/>
          </rPr>
          <t>Oculto</t>
        </r>
      </text>
    </comment>
    <comment ref="AD15" authorId="0" shapeId="0">
      <text>
        <r>
          <rPr>
            <b/>
            <sz val="9"/>
            <color indexed="81"/>
            <rFont val="Tahoma"/>
            <family val="2"/>
          </rPr>
          <t>Oculto</t>
        </r>
      </text>
    </comment>
    <comment ref="AG15" authorId="0" shapeId="0">
      <text>
        <r>
          <rPr>
            <b/>
            <sz val="9"/>
            <color indexed="81"/>
            <rFont val="Tahoma"/>
            <family val="2"/>
          </rPr>
          <t>Oculto</t>
        </r>
      </text>
    </comment>
    <comment ref="AH15" authorId="0" shapeId="0">
      <text>
        <r>
          <rPr>
            <b/>
            <sz val="9"/>
            <color indexed="81"/>
            <rFont val="Tahoma"/>
            <family val="2"/>
          </rPr>
          <t>Oculto</t>
        </r>
      </text>
    </comment>
    <comment ref="AI15" authorId="0" shapeId="0">
      <text>
        <r>
          <rPr>
            <b/>
            <sz val="9"/>
            <color indexed="81"/>
            <rFont val="Tahoma"/>
            <family val="2"/>
          </rPr>
          <t>Oculto</t>
        </r>
      </text>
    </comment>
    <comment ref="AN15" authorId="0" shapeId="0">
      <text>
        <r>
          <rPr>
            <b/>
            <sz val="9"/>
            <color indexed="81"/>
            <rFont val="Tahoma"/>
            <family val="2"/>
          </rPr>
          <t>Oculto</t>
        </r>
      </text>
    </comment>
    <comment ref="AS15" authorId="0" shapeId="0">
      <text>
        <r>
          <rPr>
            <b/>
            <sz val="9"/>
            <color indexed="81"/>
            <rFont val="Tahoma"/>
            <family val="2"/>
          </rPr>
          <t>Oculto</t>
        </r>
      </text>
    </comment>
    <comment ref="E16" authorId="0" shapeId="0">
      <text>
        <r>
          <rPr>
            <b/>
            <sz val="9"/>
            <color indexed="81"/>
            <rFont val="Tahoma"/>
            <family val="2"/>
          </rPr>
          <t>Oculto</t>
        </r>
      </text>
    </comment>
    <comment ref="H16" authorId="0" shapeId="0">
      <text>
        <r>
          <rPr>
            <b/>
            <sz val="9"/>
            <color indexed="81"/>
            <rFont val="Tahoma"/>
            <family val="2"/>
          </rPr>
          <t>Oculto</t>
        </r>
      </text>
    </comment>
    <comment ref="J16" authorId="0" shapeId="0">
      <text>
        <r>
          <rPr>
            <b/>
            <sz val="9"/>
            <color indexed="81"/>
            <rFont val="Tahoma"/>
            <family val="2"/>
          </rPr>
          <t>Oculto</t>
        </r>
      </text>
    </comment>
    <comment ref="L16" authorId="0" shapeId="0">
      <text>
        <r>
          <rPr>
            <b/>
            <sz val="9"/>
            <color indexed="81"/>
            <rFont val="Tahoma"/>
            <family val="2"/>
          </rPr>
          <t>Oculto</t>
        </r>
      </text>
    </comment>
    <comment ref="M16" authorId="0" shapeId="0">
      <text>
        <r>
          <rPr>
            <b/>
            <sz val="9"/>
            <color indexed="81"/>
            <rFont val="Tahoma"/>
            <family val="2"/>
          </rPr>
          <t>Oculto</t>
        </r>
      </text>
    </comment>
    <comment ref="P16" authorId="0" shapeId="0">
      <text>
        <r>
          <rPr>
            <b/>
            <sz val="9"/>
            <color indexed="81"/>
            <rFont val="Tahoma"/>
            <family val="2"/>
          </rPr>
          <t>Oculto</t>
        </r>
      </text>
    </comment>
    <comment ref="Q16" authorId="0" shapeId="0">
      <text>
        <r>
          <rPr>
            <b/>
            <sz val="9"/>
            <color indexed="81"/>
            <rFont val="Tahoma"/>
            <family val="2"/>
          </rPr>
          <t>Oculto</t>
        </r>
      </text>
    </comment>
    <comment ref="V16" authorId="0" shapeId="0">
      <text>
        <r>
          <rPr>
            <b/>
            <sz val="9"/>
            <color indexed="81"/>
            <rFont val="Tahoma"/>
            <family val="2"/>
          </rPr>
          <t>Oculto</t>
        </r>
      </text>
    </comment>
    <comment ref="AB16" authorId="0" shapeId="0">
      <text>
        <r>
          <rPr>
            <b/>
            <sz val="9"/>
            <color indexed="81"/>
            <rFont val="Tahoma"/>
            <family val="2"/>
          </rPr>
          <t>Oculto</t>
        </r>
      </text>
    </comment>
    <comment ref="AC16" authorId="0" shapeId="0">
      <text>
        <r>
          <rPr>
            <b/>
            <sz val="9"/>
            <color indexed="81"/>
            <rFont val="Tahoma"/>
            <family val="2"/>
          </rPr>
          <t>Oculto</t>
        </r>
      </text>
    </comment>
    <comment ref="AD16" authorId="0" shapeId="0">
      <text>
        <r>
          <rPr>
            <b/>
            <sz val="9"/>
            <color indexed="81"/>
            <rFont val="Tahoma"/>
            <family val="2"/>
          </rPr>
          <t>Oculto</t>
        </r>
      </text>
    </comment>
    <comment ref="AG16" authorId="0" shapeId="0">
      <text>
        <r>
          <rPr>
            <b/>
            <sz val="9"/>
            <color indexed="81"/>
            <rFont val="Tahoma"/>
            <family val="2"/>
          </rPr>
          <t>Oculto</t>
        </r>
      </text>
    </comment>
    <comment ref="AH16" authorId="0" shapeId="0">
      <text>
        <r>
          <rPr>
            <b/>
            <sz val="9"/>
            <color indexed="81"/>
            <rFont val="Tahoma"/>
            <family val="2"/>
          </rPr>
          <t>Oculto</t>
        </r>
      </text>
    </comment>
    <comment ref="AI16" authorId="0" shapeId="0">
      <text>
        <r>
          <rPr>
            <b/>
            <sz val="9"/>
            <color indexed="81"/>
            <rFont val="Tahoma"/>
            <family val="2"/>
          </rPr>
          <t>Oculto</t>
        </r>
      </text>
    </comment>
    <comment ref="AN16" authorId="0" shapeId="0">
      <text>
        <r>
          <rPr>
            <b/>
            <sz val="9"/>
            <color indexed="81"/>
            <rFont val="Tahoma"/>
            <family val="2"/>
          </rPr>
          <t>Oculto</t>
        </r>
      </text>
    </comment>
    <comment ref="E17" authorId="0" shapeId="0">
      <text>
        <r>
          <rPr>
            <b/>
            <sz val="9"/>
            <color indexed="81"/>
            <rFont val="Tahoma"/>
            <family val="2"/>
          </rPr>
          <t>Oculto</t>
        </r>
      </text>
    </comment>
    <comment ref="H17" authorId="0" shapeId="0">
      <text>
        <r>
          <rPr>
            <b/>
            <sz val="9"/>
            <color indexed="81"/>
            <rFont val="Tahoma"/>
            <family val="2"/>
          </rPr>
          <t>Oculto</t>
        </r>
      </text>
    </comment>
    <comment ref="J17" authorId="0" shapeId="0">
      <text>
        <r>
          <rPr>
            <b/>
            <sz val="9"/>
            <color indexed="81"/>
            <rFont val="Tahoma"/>
            <family val="2"/>
          </rPr>
          <t>Oculto</t>
        </r>
      </text>
    </comment>
    <comment ref="R17" authorId="0" shapeId="0">
      <text>
        <r>
          <rPr>
            <b/>
            <sz val="9"/>
            <color indexed="81"/>
            <rFont val="Tahoma"/>
            <family val="2"/>
          </rPr>
          <t>Oculto</t>
        </r>
      </text>
    </comment>
    <comment ref="S17" authorId="0" shapeId="0">
      <text>
        <r>
          <rPr>
            <b/>
            <sz val="9"/>
            <color indexed="81"/>
            <rFont val="Tahoma"/>
            <family val="2"/>
          </rPr>
          <t>Oculto</t>
        </r>
      </text>
    </comment>
    <comment ref="V17" authorId="0" shapeId="0">
      <text>
        <r>
          <rPr>
            <b/>
            <sz val="9"/>
            <color indexed="81"/>
            <rFont val="Tahoma"/>
            <family val="2"/>
          </rPr>
          <t>Oculto</t>
        </r>
      </text>
    </comment>
    <comment ref="AB17" authorId="0" shapeId="0">
      <text>
        <r>
          <rPr>
            <b/>
            <sz val="9"/>
            <color indexed="81"/>
            <rFont val="Tahoma"/>
            <family val="2"/>
          </rPr>
          <t>Oculto</t>
        </r>
      </text>
    </comment>
    <comment ref="AC17" authorId="0" shapeId="0">
      <text>
        <r>
          <rPr>
            <b/>
            <sz val="9"/>
            <color indexed="81"/>
            <rFont val="Tahoma"/>
            <family val="2"/>
          </rPr>
          <t>Oculto</t>
        </r>
      </text>
    </comment>
    <comment ref="AD17" authorId="0" shapeId="0">
      <text>
        <r>
          <rPr>
            <b/>
            <sz val="9"/>
            <color indexed="81"/>
            <rFont val="Tahoma"/>
            <family val="2"/>
          </rPr>
          <t>Oculto</t>
        </r>
      </text>
    </comment>
    <comment ref="AG17" authorId="0" shapeId="0">
      <text>
        <r>
          <rPr>
            <b/>
            <sz val="9"/>
            <color indexed="81"/>
            <rFont val="Tahoma"/>
            <family val="2"/>
          </rPr>
          <t>Oculto</t>
        </r>
      </text>
    </comment>
    <comment ref="AH17" authorId="0" shapeId="0">
      <text>
        <r>
          <rPr>
            <b/>
            <sz val="9"/>
            <color indexed="81"/>
            <rFont val="Tahoma"/>
            <family val="2"/>
          </rPr>
          <t>Oculto</t>
        </r>
      </text>
    </comment>
    <comment ref="AI17" authorId="0" shapeId="0">
      <text>
        <r>
          <rPr>
            <b/>
            <sz val="9"/>
            <color indexed="81"/>
            <rFont val="Tahoma"/>
            <family val="2"/>
          </rPr>
          <t>Oculto</t>
        </r>
      </text>
    </comment>
    <comment ref="AN17" authorId="0" shapeId="0">
      <text>
        <r>
          <rPr>
            <b/>
            <sz val="9"/>
            <color indexed="81"/>
            <rFont val="Tahoma"/>
            <family val="2"/>
          </rPr>
          <t>Oculto</t>
        </r>
      </text>
    </comment>
  </commentList>
</comments>
</file>

<file path=xl/comments5.xml><?xml version="1.0" encoding="utf-8"?>
<comments xmlns="http://schemas.openxmlformats.org/spreadsheetml/2006/main">
  <authors>
    <author>ALAMO</author>
    <author>Jose Manuel hernandez</author>
    <author>juanjo</author>
    <author>cgpj</author>
    <author>Diez Rodriguez, Susana</author>
    <author>Administrador</author>
    <author>SANCHEZ-JJ</author>
    <author>Juan José Sánchez Guevara</author>
  </authors>
  <commentList>
    <comment ref="I5" authorId="0" shapeId="0">
      <text>
        <r>
          <rPr>
            <sz val="8"/>
            <color indexed="81"/>
            <rFont val="Tahoma"/>
            <family val="2"/>
          </rPr>
          <t xml:space="preserve">Listado de valores obtenidos de Base de Datos. Son el soporte para la realización de cáculos
</t>
        </r>
      </text>
    </comment>
    <comment ref="D8" authorId="1" shapeId="0">
      <text>
        <r>
          <rPr>
            <b/>
            <sz val="8"/>
            <color indexed="81"/>
            <rFont val="Tahoma"/>
            <family val="2"/>
          </rPr>
          <t>C</t>
        </r>
      </text>
    </comment>
    <comment ref="D9" authorId="2" shapeId="0">
      <text>
        <r>
          <rPr>
            <b/>
            <sz val="8"/>
            <color indexed="81"/>
            <rFont val="Tahoma"/>
            <family val="2"/>
          </rPr>
          <t>C</t>
        </r>
      </text>
    </comment>
    <comment ref="E9" authorId="3" shapeId="0">
      <text>
        <r>
          <rPr>
            <b/>
            <sz val="8"/>
            <color indexed="81"/>
            <rFont val="Tahoma"/>
            <family val="2"/>
          </rPr>
          <t>52,,
34,,</t>
        </r>
      </text>
    </comment>
    <comment ref="H9" authorId="0" shapeId="0">
      <text>
        <r>
          <rPr>
            <sz val="8"/>
            <color indexed="81"/>
            <rFont val="Tahoma"/>
            <family val="2"/>
          </rPr>
          <t xml:space="preserve">NO borrar este comentario necesario para el funcionamiento.
Negación de inclusión
</t>
        </r>
      </text>
    </comment>
    <comment ref="BZ9" authorId="1" shapeId="0">
      <text>
        <r>
          <rPr>
            <sz val="8"/>
            <color indexed="81"/>
            <rFont val="Tahoma"/>
            <family val="2"/>
          </rPr>
          <t xml:space="preserve">Residuales de Penal en juzgado especializado </t>
        </r>
        <r>
          <rPr>
            <sz val="8"/>
            <color indexed="81"/>
            <rFont val="Tahoma"/>
            <family val="2"/>
          </rPr>
          <t xml:space="preserve">
</t>
        </r>
      </text>
    </comment>
    <comment ref="C10" authorId="1" shapeId="0">
      <text>
        <r>
          <rPr>
            <b/>
            <sz val="8"/>
            <color indexed="81"/>
            <rFont val="Tahoma"/>
            <family val="2"/>
          </rPr>
          <t>C</t>
        </r>
      </text>
    </comment>
    <comment ref="D10" authorId="2" shapeId="0">
      <text>
        <r>
          <rPr>
            <b/>
            <sz val="8"/>
            <color indexed="81"/>
            <rFont val="Tahoma"/>
            <family val="2"/>
          </rPr>
          <t>C</t>
        </r>
      </text>
    </comment>
    <comment ref="AP10" authorId="0" shapeId="0">
      <text>
        <r>
          <rPr>
            <sz val="8"/>
            <color indexed="81"/>
            <rFont val="Tahoma"/>
            <family val="2"/>
          </rPr>
          <t>UNICAAPORTACION</t>
        </r>
      </text>
    </comment>
    <comment ref="D11" authorId="2" shapeId="0">
      <text>
        <r>
          <rPr>
            <b/>
            <sz val="8"/>
            <color indexed="81"/>
            <rFont val="Tahoma"/>
            <family val="2"/>
          </rPr>
          <t>C</t>
        </r>
      </text>
    </comment>
    <comment ref="BZ11" authorId="1" shapeId="0">
      <text>
        <r>
          <rPr>
            <sz val="8"/>
            <color indexed="81"/>
            <rFont val="Tahoma"/>
            <family val="2"/>
          </rPr>
          <t>Residuales asuntos civiles no de familia</t>
        </r>
      </text>
    </comment>
    <comment ref="D12" authorId="2" shapeId="0">
      <text>
        <r>
          <rPr>
            <b/>
            <sz val="8"/>
            <color indexed="81"/>
            <rFont val="Tahoma"/>
            <family val="2"/>
          </rPr>
          <t>C</t>
        </r>
      </text>
    </comment>
    <comment ref="E12" authorId="0" shapeId="0">
      <text>
        <r>
          <rPr>
            <b/>
            <sz val="8"/>
            <color indexed="81"/>
            <rFont val="Tahoma"/>
            <family val="2"/>
          </rPr>
          <t>33,,
22,,</t>
        </r>
      </text>
    </comment>
    <comment ref="D13" authorId="4" shapeId="0">
      <text>
        <r>
          <rPr>
            <b/>
            <sz val="9"/>
            <color indexed="81"/>
            <rFont val="Tahoma"/>
            <family val="2"/>
          </rPr>
          <t>C</t>
        </r>
      </text>
    </comment>
    <comment ref="D14" authorId="1" shapeId="0">
      <text>
        <r>
          <rPr>
            <b/>
            <sz val="8"/>
            <color indexed="81"/>
            <rFont val="Tahoma"/>
            <family val="2"/>
          </rPr>
          <t>P</t>
        </r>
      </text>
    </comment>
    <comment ref="D15" authorId="2" shapeId="0">
      <text>
        <r>
          <rPr>
            <b/>
            <sz val="8"/>
            <color indexed="81"/>
            <rFont val="Tahoma"/>
            <family val="2"/>
          </rPr>
          <t>P</t>
        </r>
      </text>
    </comment>
    <comment ref="AS15" authorId="5" shapeId="0">
      <text>
        <r>
          <rPr>
            <b/>
            <sz val="8"/>
            <color indexed="81"/>
            <rFont val="Tahoma"/>
            <family val="2"/>
          </rPr>
          <t>Diligencias Previas</t>
        </r>
      </text>
    </comment>
    <comment ref="AT15" authorId="5" shapeId="0">
      <text>
        <r>
          <rPr>
            <b/>
            <sz val="8"/>
            <color indexed="81"/>
            <rFont val="Tahoma"/>
            <family val="2"/>
          </rPr>
          <t>Juicios de Faltas</t>
        </r>
      </text>
    </comment>
    <comment ref="AU15" authorId="6" shapeId="0">
      <text>
        <r>
          <rPr>
            <b/>
            <sz val="8"/>
            <color indexed="81"/>
            <rFont val="Tahoma"/>
            <family val="2"/>
          </rPr>
          <t>Resueltos Diligencias Previas</t>
        </r>
      </text>
    </comment>
    <comment ref="AV15" authorId="6" shapeId="0">
      <text>
        <r>
          <rPr>
            <b/>
            <sz val="8"/>
            <color indexed="81"/>
            <rFont val="Tahoma"/>
            <family val="2"/>
          </rPr>
          <t>Resueltos Juicios de Faltas</t>
        </r>
        <r>
          <rPr>
            <sz val="8"/>
            <color indexed="81"/>
            <rFont val="Tahoma"/>
            <family val="2"/>
          </rPr>
          <t xml:space="preserve">
</t>
        </r>
      </text>
    </comment>
    <comment ref="AW15" authorId="6" shapeId="0">
      <text>
        <r>
          <rPr>
            <b/>
            <sz val="8"/>
            <color indexed="81"/>
            <rFont val="Tahoma"/>
            <family val="2"/>
          </rPr>
          <t>Pendientes Diligencias Previas</t>
        </r>
      </text>
    </comment>
    <comment ref="AX15" authorId="6" shapeId="0">
      <text>
        <r>
          <rPr>
            <b/>
            <sz val="8"/>
            <color indexed="81"/>
            <rFont val="Tahoma"/>
            <family val="2"/>
          </rPr>
          <t>Pendientes Juicios de Faltas</t>
        </r>
      </text>
    </comment>
    <comment ref="BZ15" authorId="1" shapeId="0">
      <text>
        <r>
          <rPr>
            <sz val="8"/>
            <color indexed="81"/>
            <rFont val="Tahoma"/>
            <family val="2"/>
          </rPr>
          <t xml:space="preserve">Residuales de Civil  en juzgado especializado </t>
        </r>
      </text>
    </comment>
    <comment ref="D16" authorId="2" shapeId="0">
      <text>
        <r>
          <rPr>
            <b/>
            <sz val="8"/>
            <color indexed="81"/>
            <rFont val="Tahoma"/>
            <family val="2"/>
          </rPr>
          <t>P</t>
        </r>
      </text>
    </comment>
    <comment ref="E16" authorId="0" shapeId="0">
      <text>
        <r>
          <rPr>
            <b/>
            <sz val="8"/>
            <color indexed="81"/>
            <rFont val="Tahoma"/>
            <family val="2"/>
          </rPr>
          <t>32,,
22,,</t>
        </r>
      </text>
    </comment>
    <comment ref="AO16" authorId="0" shapeId="0">
      <text>
        <r>
          <rPr>
            <b/>
            <sz val="8"/>
            <color indexed="81"/>
            <rFont val="Tahoma"/>
            <family val="2"/>
          </rPr>
          <t>NOSUMA</t>
        </r>
        <r>
          <rPr>
            <sz val="8"/>
            <color indexed="81"/>
            <rFont val="Tahoma"/>
            <family val="2"/>
          </rPr>
          <t xml:space="preserve">
</t>
        </r>
      </text>
    </comment>
    <comment ref="C17" authorId="1" shapeId="0">
      <text>
        <r>
          <rPr>
            <b/>
            <sz val="8"/>
            <color indexed="81"/>
            <rFont val="Tahoma"/>
            <family val="2"/>
          </rPr>
          <t>P</t>
        </r>
      </text>
    </comment>
    <comment ref="D17" authorId="2" shapeId="0">
      <text>
        <r>
          <rPr>
            <b/>
            <sz val="8"/>
            <color indexed="81"/>
            <rFont val="Tahoma"/>
            <family val="2"/>
          </rPr>
          <t>P</t>
        </r>
      </text>
    </comment>
    <comment ref="AO17" authorId="3" shapeId="0">
      <text>
        <r>
          <rPr>
            <b/>
            <sz val="8"/>
            <color indexed="81"/>
            <rFont val="Tahoma"/>
            <family val="2"/>
          </rPr>
          <t>NOSUMA</t>
        </r>
      </text>
    </comment>
    <comment ref="AP17" authorId="0" shapeId="0">
      <text>
        <r>
          <rPr>
            <sz val="8"/>
            <color indexed="81"/>
            <rFont val="Tahoma"/>
            <family val="2"/>
          </rPr>
          <t>UNICAAPORTACION</t>
        </r>
      </text>
    </comment>
    <comment ref="AS17" authorId="7" shapeId="0">
      <text>
        <r>
          <rPr>
            <b/>
            <sz val="8"/>
            <color indexed="81"/>
            <rFont val="Tahoma"/>
            <family val="2"/>
          </rPr>
          <t>Ingresados+procedentes de otros órganos+reabiertos de Diligencias Urgentes</t>
        </r>
      </text>
    </comment>
    <comment ref="AT17" authorId="7" shapeId="0">
      <text>
        <r>
          <rPr>
            <b/>
            <sz val="8"/>
            <color indexed="81"/>
            <rFont val="Tahoma"/>
            <family val="2"/>
          </rPr>
          <t>Ingresados+Procedentes otros órganos+Reabiertos de Diligencias Previas</t>
        </r>
      </text>
    </comment>
    <comment ref="AU17" authorId="6" shapeId="0">
      <text>
        <r>
          <rPr>
            <b/>
            <sz val="8"/>
            <color indexed="81"/>
            <rFont val="Tahoma"/>
            <family val="2"/>
          </rPr>
          <t>Resueltos Diligencias Urgentes</t>
        </r>
      </text>
    </comment>
    <comment ref="AV17" authorId="6" shapeId="0">
      <text>
        <r>
          <rPr>
            <b/>
            <sz val="8"/>
            <color indexed="81"/>
            <rFont val="Tahoma"/>
            <family val="2"/>
          </rPr>
          <t>Resueltos Diligencias Previas</t>
        </r>
      </text>
    </comment>
    <comment ref="AW17" authorId="6" shapeId="0">
      <text>
        <r>
          <rPr>
            <b/>
            <sz val="8"/>
            <color indexed="81"/>
            <rFont val="Tahoma"/>
            <family val="2"/>
          </rPr>
          <t>Pendientes Diligencias Urgentes</t>
        </r>
      </text>
    </comment>
    <comment ref="AX17" authorId="6" shapeId="0">
      <text>
        <r>
          <rPr>
            <b/>
            <sz val="8"/>
            <color indexed="81"/>
            <rFont val="Tahoma"/>
            <family val="2"/>
          </rPr>
          <t>Pendientes Diligencias Previas</t>
        </r>
      </text>
    </comment>
    <comment ref="D18" authorId="4" shapeId="0">
      <text>
        <r>
          <rPr>
            <b/>
            <sz val="9"/>
            <color indexed="81"/>
            <rFont val="Tahoma"/>
            <family val="2"/>
          </rPr>
          <t>P</t>
        </r>
      </text>
    </comment>
  </commentList>
</comments>
</file>

<file path=xl/comments6.xml><?xml version="1.0" encoding="utf-8"?>
<comments xmlns="http://schemas.openxmlformats.org/spreadsheetml/2006/main">
  <authors>
    <author>Diez Rodriguez, Susana</author>
    <author>Hernandez Mayor, Jose Manuel</author>
  </authors>
  <commentList>
    <comment ref="E9" authorId="0" shapeId="0">
      <text>
        <r>
          <rPr>
            <b/>
            <sz val="9"/>
            <color indexed="81"/>
            <rFont val="Tahoma"/>
            <family val="2"/>
          </rPr>
          <t>Oculto</t>
        </r>
      </text>
    </comment>
    <comment ref="G9" authorId="0" shapeId="0">
      <text>
        <r>
          <rPr>
            <b/>
            <sz val="9"/>
            <color indexed="81"/>
            <rFont val="Tahoma"/>
            <family val="2"/>
          </rPr>
          <t>Oculto</t>
        </r>
      </text>
    </comment>
    <comment ref="H9" authorId="0" shapeId="0">
      <text>
        <r>
          <rPr>
            <b/>
            <sz val="9"/>
            <color indexed="81"/>
            <rFont val="Tahoma"/>
            <family val="2"/>
          </rPr>
          <t>Oculto</t>
        </r>
      </text>
    </comment>
    <comment ref="K9" authorId="0" shapeId="0">
      <text>
        <r>
          <rPr>
            <b/>
            <sz val="9"/>
            <color indexed="81"/>
            <rFont val="Tahoma"/>
            <family val="2"/>
          </rPr>
          <t>Oculto</t>
        </r>
      </text>
    </comment>
    <comment ref="L9" authorId="0" shapeId="0">
      <text>
        <r>
          <rPr>
            <b/>
            <sz val="9"/>
            <color indexed="81"/>
            <rFont val="Tahoma"/>
            <family val="2"/>
          </rPr>
          <t>Oculto</t>
        </r>
      </text>
    </comment>
    <comment ref="M9" authorId="0" shapeId="0">
      <text>
        <r>
          <rPr>
            <b/>
            <sz val="9"/>
            <color indexed="81"/>
            <rFont val="Tahoma"/>
            <family val="2"/>
          </rPr>
          <t>Oculto</t>
        </r>
      </text>
    </comment>
    <comment ref="N9" authorId="0" shapeId="0">
      <text>
        <r>
          <rPr>
            <b/>
            <sz val="9"/>
            <color indexed="81"/>
            <rFont val="Tahoma"/>
            <family val="2"/>
          </rPr>
          <t>Oculto</t>
        </r>
      </text>
    </comment>
    <comment ref="P9" authorId="0" shapeId="0">
      <text>
        <r>
          <rPr>
            <b/>
            <sz val="9"/>
            <color indexed="81"/>
            <rFont val="Tahoma"/>
            <family val="2"/>
          </rPr>
          <t>Oculto</t>
        </r>
      </text>
    </comment>
    <comment ref="Q9" authorId="0" shapeId="0">
      <text>
        <r>
          <rPr>
            <b/>
            <sz val="9"/>
            <color indexed="81"/>
            <rFont val="Tahoma"/>
            <family val="2"/>
          </rPr>
          <t>Oculto</t>
        </r>
      </text>
    </comment>
    <comment ref="R9" authorId="0" shapeId="0">
      <text>
        <r>
          <rPr>
            <b/>
            <sz val="9"/>
            <color indexed="81"/>
            <rFont val="Tahoma"/>
            <family val="2"/>
          </rPr>
          <t>Oculto</t>
        </r>
      </text>
    </comment>
    <comment ref="AQ9" authorId="0" shapeId="0">
      <text>
        <r>
          <rPr>
            <b/>
            <sz val="9"/>
            <color indexed="81"/>
            <rFont val="Tahoma"/>
            <family val="2"/>
          </rPr>
          <t>Oculto</t>
        </r>
      </text>
    </comment>
    <comment ref="AU9" authorId="0" shapeId="0">
      <text>
        <r>
          <rPr>
            <b/>
            <sz val="9"/>
            <color indexed="81"/>
            <rFont val="Tahoma"/>
            <family val="2"/>
          </rPr>
          <t>Oculto</t>
        </r>
      </text>
    </comment>
    <comment ref="AV9" authorId="0" shapeId="0">
      <text>
        <r>
          <rPr>
            <b/>
            <sz val="9"/>
            <color indexed="81"/>
            <rFont val="Tahoma"/>
            <family val="2"/>
          </rPr>
          <t>Oculto</t>
        </r>
      </text>
    </comment>
    <comment ref="AY9" authorId="0" shapeId="0">
      <text>
        <r>
          <rPr>
            <b/>
            <sz val="9"/>
            <color indexed="81"/>
            <rFont val="Tahoma"/>
            <family val="2"/>
          </rPr>
          <t>Oculto</t>
        </r>
      </text>
    </comment>
    <comment ref="AZ9" authorId="0" shapeId="0">
      <text>
        <r>
          <rPr>
            <b/>
            <sz val="9"/>
            <color indexed="81"/>
            <rFont val="Tahoma"/>
            <family val="2"/>
          </rPr>
          <t>Oculto</t>
        </r>
      </text>
    </comment>
    <comment ref="BA9" authorId="0" shapeId="0">
      <text>
        <r>
          <rPr>
            <b/>
            <sz val="9"/>
            <color indexed="81"/>
            <rFont val="Tahoma"/>
            <charset val="1"/>
          </rPr>
          <t>Oculto</t>
        </r>
      </text>
    </comment>
    <comment ref="D10" authorId="0" shapeId="0">
      <text>
        <r>
          <rPr>
            <b/>
            <sz val="9"/>
            <color indexed="81"/>
            <rFont val="Tahoma"/>
            <family val="2"/>
          </rPr>
          <t>Oculto</t>
        </r>
      </text>
    </comment>
    <comment ref="E10" authorId="0" shapeId="0">
      <text>
        <r>
          <rPr>
            <b/>
            <sz val="9"/>
            <color indexed="81"/>
            <rFont val="Tahoma"/>
            <family val="2"/>
          </rPr>
          <t>Oculto</t>
        </r>
      </text>
    </comment>
    <comment ref="G10" authorId="0" shapeId="0">
      <text>
        <r>
          <rPr>
            <b/>
            <sz val="9"/>
            <color indexed="81"/>
            <rFont val="Tahoma"/>
            <family val="2"/>
          </rPr>
          <t>Oculto</t>
        </r>
      </text>
    </comment>
    <comment ref="H10" authorId="0" shapeId="0">
      <text>
        <r>
          <rPr>
            <b/>
            <sz val="9"/>
            <color indexed="81"/>
            <rFont val="Tahoma"/>
            <family val="2"/>
          </rPr>
          <t>Oculto</t>
        </r>
      </text>
    </comment>
    <comment ref="J10" authorId="0" shapeId="0">
      <text>
        <r>
          <rPr>
            <b/>
            <sz val="9"/>
            <color indexed="81"/>
            <rFont val="Tahoma"/>
            <family val="2"/>
          </rPr>
          <t>Oculto</t>
        </r>
      </text>
    </comment>
    <comment ref="K10" authorId="0" shapeId="0">
      <text>
        <r>
          <rPr>
            <b/>
            <sz val="9"/>
            <color indexed="81"/>
            <rFont val="Tahoma"/>
            <family val="2"/>
          </rPr>
          <t>Oculto</t>
        </r>
      </text>
    </comment>
    <comment ref="L10" authorId="0" shapeId="0">
      <text>
        <r>
          <rPr>
            <b/>
            <sz val="9"/>
            <color indexed="81"/>
            <rFont val="Tahoma"/>
            <family val="2"/>
          </rPr>
          <t>Oculto</t>
        </r>
      </text>
    </comment>
    <comment ref="M10" authorId="0" shapeId="0">
      <text>
        <r>
          <rPr>
            <b/>
            <sz val="9"/>
            <color indexed="81"/>
            <rFont val="Tahoma"/>
            <family val="2"/>
          </rPr>
          <t>Oculto</t>
        </r>
      </text>
    </comment>
    <comment ref="N10" authorId="0" shapeId="0">
      <text>
        <r>
          <rPr>
            <b/>
            <sz val="9"/>
            <color indexed="81"/>
            <rFont val="Tahoma"/>
            <family val="2"/>
          </rPr>
          <t>Oculto</t>
        </r>
      </text>
    </comment>
    <comment ref="P10" authorId="0" shapeId="0">
      <text>
        <r>
          <rPr>
            <b/>
            <sz val="9"/>
            <color indexed="81"/>
            <rFont val="Tahoma"/>
            <family val="2"/>
          </rPr>
          <t>Oculto</t>
        </r>
      </text>
    </comment>
    <comment ref="Q10" authorId="0" shapeId="0">
      <text>
        <r>
          <rPr>
            <b/>
            <sz val="9"/>
            <color indexed="81"/>
            <rFont val="Tahoma"/>
            <family val="2"/>
          </rPr>
          <t>Oculto</t>
        </r>
      </text>
    </comment>
    <comment ref="R10" authorId="0" shapeId="0">
      <text>
        <r>
          <rPr>
            <b/>
            <sz val="9"/>
            <color indexed="81"/>
            <rFont val="Tahoma"/>
            <family val="2"/>
          </rPr>
          <t>Oculto</t>
        </r>
      </text>
    </comment>
    <comment ref="S10" authorId="0" shapeId="0">
      <text>
        <r>
          <rPr>
            <b/>
            <sz val="9"/>
            <color indexed="81"/>
            <rFont val="Tahoma"/>
            <family val="2"/>
          </rPr>
          <t>Oculto</t>
        </r>
      </text>
    </comment>
    <comment ref="T10" authorId="0" shapeId="0">
      <text>
        <r>
          <rPr>
            <b/>
            <sz val="9"/>
            <color indexed="81"/>
            <rFont val="Tahoma"/>
            <family val="2"/>
          </rPr>
          <t>Oculto</t>
        </r>
      </text>
    </comment>
    <comment ref="AQ10" authorId="0" shapeId="0">
      <text>
        <r>
          <rPr>
            <b/>
            <sz val="9"/>
            <color indexed="81"/>
            <rFont val="Tahoma"/>
            <family val="2"/>
          </rPr>
          <t>Oculto</t>
        </r>
      </text>
    </comment>
    <comment ref="AU10" authorId="0" shapeId="0">
      <text>
        <r>
          <rPr>
            <b/>
            <sz val="9"/>
            <color indexed="81"/>
            <rFont val="Tahoma"/>
            <family val="2"/>
          </rPr>
          <t>Oculto</t>
        </r>
      </text>
    </comment>
    <comment ref="AV10" authorId="0" shapeId="0">
      <text>
        <r>
          <rPr>
            <b/>
            <sz val="9"/>
            <color indexed="81"/>
            <rFont val="Tahoma"/>
            <family val="2"/>
          </rPr>
          <t>Oculto</t>
        </r>
      </text>
    </comment>
    <comment ref="AY10" authorId="0" shapeId="0">
      <text>
        <r>
          <rPr>
            <b/>
            <sz val="9"/>
            <color indexed="81"/>
            <rFont val="Tahoma"/>
            <family val="2"/>
          </rPr>
          <t>Oculto</t>
        </r>
      </text>
    </comment>
    <comment ref="AZ10" authorId="0" shapeId="0">
      <text>
        <r>
          <rPr>
            <b/>
            <sz val="9"/>
            <color indexed="81"/>
            <rFont val="Tahoma"/>
            <family val="2"/>
          </rPr>
          <t>Oculto</t>
        </r>
      </text>
    </comment>
    <comment ref="BA10" authorId="0" shapeId="0">
      <text>
        <r>
          <rPr>
            <b/>
            <sz val="9"/>
            <color indexed="81"/>
            <rFont val="Tahoma"/>
            <charset val="1"/>
          </rPr>
          <t>Oculto</t>
        </r>
      </text>
    </comment>
    <comment ref="E11" authorId="0" shapeId="0">
      <text>
        <r>
          <rPr>
            <b/>
            <sz val="9"/>
            <color indexed="81"/>
            <rFont val="Tahoma"/>
            <family val="2"/>
          </rPr>
          <t>Oculto</t>
        </r>
      </text>
    </comment>
    <comment ref="G11" authorId="0" shapeId="0">
      <text>
        <r>
          <rPr>
            <b/>
            <sz val="9"/>
            <color indexed="81"/>
            <rFont val="Tahoma"/>
            <family val="2"/>
          </rPr>
          <t>Oculto</t>
        </r>
      </text>
    </comment>
    <comment ref="H11" authorId="0" shapeId="0">
      <text>
        <r>
          <rPr>
            <b/>
            <sz val="9"/>
            <color indexed="81"/>
            <rFont val="Tahoma"/>
            <family val="2"/>
          </rPr>
          <t>Oculto</t>
        </r>
      </text>
    </comment>
    <comment ref="J11" authorId="0" shapeId="0">
      <text>
        <r>
          <rPr>
            <b/>
            <sz val="9"/>
            <color indexed="81"/>
            <rFont val="Tahoma"/>
            <family val="2"/>
          </rPr>
          <t>Oculto</t>
        </r>
      </text>
    </comment>
    <comment ref="K11" authorId="0" shapeId="0">
      <text>
        <r>
          <rPr>
            <b/>
            <sz val="9"/>
            <color indexed="81"/>
            <rFont val="Tahoma"/>
            <family val="2"/>
          </rPr>
          <t>Oculto</t>
        </r>
      </text>
    </comment>
    <comment ref="L11" authorId="0" shapeId="0">
      <text>
        <r>
          <rPr>
            <b/>
            <sz val="9"/>
            <color indexed="81"/>
            <rFont val="Tahoma"/>
            <family val="2"/>
          </rPr>
          <t>Oculto</t>
        </r>
      </text>
    </comment>
    <comment ref="M11" authorId="0" shapeId="0">
      <text>
        <r>
          <rPr>
            <b/>
            <sz val="9"/>
            <color indexed="81"/>
            <rFont val="Tahoma"/>
            <family val="2"/>
          </rPr>
          <t>Oculto</t>
        </r>
      </text>
    </comment>
    <comment ref="N11" authorId="0" shapeId="0">
      <text>
        <r>
          <rPr>
            <b/>
            <sz val="9"/>
            <color indexed="81"/>
            <rFont val="Tahoma"/>
            <family val="2"/>
          </rPr>
          <t>Oculto</t>
        </r>
      </text>
    </comment>
    <comment ref="P11" authorId="0" shapeId="0">
      <text>
        <r>
          <rPr>
            <b/>
            <sz val="9"/>
            <color indexed="81"/>
            <rFont val="Tahoma"/>
            <family val="2"/>
          </rPr>
          <t>Oculto</t>
        </r>
      </text>
    </comment>
    <comment ref="Q11" authorId="0" shapeId="0">
      <text>
        <r>
          <rPr>
            <b/>
            <sz val="9"/>
            <color indexed="81"/>
            <rFont val="Tahoma"/>
            <family val="2"/>
          </rPr>
          <t>Oculto</t>
        </r>
      </text>
    </comment>
    <comment ref="R11" authorId="0" shapeId="0">
      <text>
        <r>
          <rPr>
            <b/>
            <sz val="9"/>
            <color indexed="81"/>
            <rFont val="Tahoma"/>
            <family val="2"/>
          </rPr>
          <t>Oculto</t>
        </r>
      </text>
    </comment>
    <comment ref="AQ11" authorId="0" shapeId="0">
      <text>
        <r>
          <rPr>
            <b/>
            <sz val="9"/>
            <color indexed="81"/>
            <rFont val="Tahoma"/>
            <family val="2"/>
          </rPr>
          <t>Oculto</t>
        </r>
      </text>
    </comment>
    <comment ref="AU11" authorId="0" shapeId="0">
      <text>
        <r>
          <rPr>
            <b/>
            <sz val="9"/>
            <color indexed="81"/>
            <rFont val="Tahoma"/>
            <family val="2"/>
          </rPr>
          <t>Oculto</t>
        </r>
      </text>
    </comment>
    <comment ref="AV11" authorId="0" shapeId="0">
      <text>
        <r>
          <rPr>
            <b/>
            <sz val="9"/>
            <color indexed="81"/>
            <rFont val="Tahoma"/>
            <family val="2"/>
          </rPr>
          <t>Oculto</t>
        </r>
      </text>
    </comment>
    <comment ref="AY11" authorId="0" shapeId="0">
      <text>
        <r>
          <rPr>
            <b/>
            <sz val="9"/>
            <color indexed="81"/>
            <rFont val="Tahoma"/>
            <family val="2"/>
          </rPr>
          <t>Oculto</t>
        </r>
      </text>
    </comment>
    <comment ref="AZ11" authorId="0" shapeId="0">
      <text>
        <r>
          <rPr>
            <b/>
            <sz val="9"/>
            <color indexed="81"/>
            <rFont val="Tahoma"/>
            <family val="2"/>
          </rPr>
          <t>Oculto</t>
        </r>
      </text>
    </comment>
    <comment ref="BA11" authorId="0" shapeId="0">
      <text>
        <r>
          <rPr>
            <b/>
            <sz val="9"/>
            <color indexed="81"/>
            <rFont val="Tahoma"/>
            <charset val="1"/>
          </rPr>
          <t>Oculto</t>
        </r>
      </text>
    </comment>
    <comment ref="E12" authorId="0" shapeId="0">
      <text>
        <r>
          <rPr>
            <b/>
            <sz val="9"/>
            <color indexed="81"/>
            <rFont val="Tahoma"/>
            <family val="2"/>
          </rPr>
          <t>Oculto</t>
        </r>
      </text>
    </comment>
    <comment ref="F12" authorId="0" shapeId="0">
      <text>
        <r>
          <rPr>
            <b/>
            <sz val="9"/>
            <color indexed="81"/>
            <rFont val="Tahoma"/>
            <family val="2"/>
          </rPr>
          <t>Oculto</t>
        </r>
      </text>
    </comment>
    <comment ref="G12" authorId="0" shapeId="0">
      <text>
        <r>
          <rPr>
            <b/>
            <sz val="9"/>
            <color indexed="81"/>
            <rFont val="Tahoma"/>
            <family val="2"/>
          </rPr>
          <t>Oculto</t>
        </r>
      </text>
    </comment>
    <comment ref="H12" authorId="0" shapeId="0">
      <text>
        <r>
          <rPr>
            <b/>
            <sz val="9"/>
            <color indexed="81"/>
            <rFont val="Tahoma"/>
            <family val="2"/>
          </rPr>
          <t>Oculto</t>
        </r>
      </text>
    </comment>
    <comment ref="K12" authorId="0" shapeId="0">
      <text>
        <r>
          <rPr>
            <b/>
            <sz val="9"/>
            <color indexed="81"/>
            <rFont val="Tahoma"/>
            <family val="2"/>
          </rPr>
          <t>Oculto</t>
        </r>
      </text>
    </comment>
    <comment ref="L12" authorId="0" shapeId="0">
      <text>
        <r>
          <rPr>
            <b/>
            <sz val="9"/>
            <color indexed="81"/>
            <rFont val="Tahoma"/>
            <family val="2"/>
          </rPr>
          <t>Oculto</t>
        </r>
      </text>
    </comment>
    <comment ref="M12" authorId="0" shapeId="0">
      <text>
        <r>
          <rPr>
            <b/>
            <sz val="9"/>
            <color indexed="81"/>
            <rFont val="Tahoma"/>
            <family val="2"/>
          </rPr>
          <t>Oculto</t>
        </r>
      </text>
    </comment>
    <comment ref="N12" authorId="0" shapeId="0">
      <text>
        <r>
          <rPr>
            <b/>
            <sz val="9"/>
            <color indexed="81"/>
            <rFont val="Tahoma"/>
            <family val="2"/>
          </rPr>
          <t>Oculto</t>
        </r>
      </text>
    </comment>
    <comment ref="P12" authorId="0" shapeId="0">
      <text>
        <r>
          <rPr>
            <b/>
            <sz val="9"/>
            <color indexed="81"/>
            <rFont val="Tahoma"/>
            <family val="2"/>
          </rPr>
          <t>Oculto</t>
        </r>
      </text>
    </comment>
    <comment ref="Q12" authorId="0" shapeId="0">
      <text>
        <r>
          <rPr>
            <b/>
            <sz val="9"/>
            <color indexed="81"/>
            <rFont val="Tahoma"/>
            <family val="2"/>
          </rPr>
          <t>Oculto</t>
        </r>
      </text>
    </comment>
    <comment ref="R12" authorId="0" shapeId="0">
      <text>
        <r>
          <rPr>
            <b/>
            <sz val="9"/>
            <color indexed="81"/>
            <rFont val="Tahoma"/>
            <family val="2"/>
          </rPr>
          <t>Oculto</t>
        </r>
      </text>
    </comment>
    <comment ref="AQ12" authorId="0" shapeId="0">
      <text>
        <r>
          <rPr>
            <b/>
            <sz val="9"/>
            <color indexed="81"/>
            <rFont val="Tahoma"/>
            <family val="2"/>
          </rPr>
          <t>Oculto</t>
        </r>
      </text>
    </comment>
    <comment ref="AU12" authorId="0" shapeId="0">
      <text>
        <r>
          <rPr>
            <b/>
            <sz val="9"/>
            <color indexed="81"/>
            <rFont val="Tahoma"/>
            <family val="2"/>
          </rPr>
          <t>Oculto</t>
        </r>
      </text>
    </comment>
    <comment ref="AV12" authorId="0" shapeId="0">
      <text>
        <r>
          <rPr>
            <b/>
            <sz val="9"/>
            <color indexed="81"/>
            <rFont val="Tahoma"/>
            <family val="2"/>
          </rPr>
          <t>Oculto</t>
        </r>
      </text>
    </comment>
    <comment ref="AY12" authorId="0" shapeId="0">
      <text>
        <r>
          <rPr>
            <b/>
            <sz val="9"/>
            <color indexed="81"/>
            <rFont val="Tahoma"/>
            <family val="2"/>
          </rPr>
          <t>Oculto</t>
        </r>
      </text>
    </comment>
    <comment ref="AZ12" authorId="0" shapeId="0">
      <text>
        <r>
          <rPr>
            <b/>
            <sz val="9"/>
            <color indexed="81"/>
            <rFont val="Tahoma"/>
            <family val="2"/>
          </rPr>
          <t>Oculto</t>
        </r>
      </text>
    </comment>
    <comment ref="BA12" authorId="0" shapeId="0">
      <text>
        <r>
          <rPr>
            <b/>
            <sz val="9"/>
            <color indexed="81"/>
            <rFont val="Tahoma"/>
            <charset val="1"/>
          </rPr>
          <t>Oculto</t>
        </r>
      </text>
    </comment>
    <comment ref="E15" authorId="0" shapeId="0">
      <text>
        <r>
          <rPr>
            <b/>
            <sz val="9"/>
            <color indexed="81"/>
            <rFont val="Tahoma"/>
            <family val="2"/>
          </rPr>
          <t>Oculto</t>
        </r>
      </text>
    </comment>
    <comment ref="H15" authorId="0" shapeId="0">
      <text>
        <r>
          <rPr>
            <b/>
            <sz val="9"/>
            <color indexed="81"/>
            <rFont val="Tahoma"/>
            <family val="2"/>
          </rPr>
          <t>Oculto</t>
        </r>
      </text>
    </comment>
    <comment ref="J15" authorId="0" shapeId="0">
      <text>
        <r>
          <rPr>
            <b/>
            <sz val="9"/>
            <color indexed="81"/>
            <rFont val="Tahoma"/>
            <family val="2"/>
          </rPr>
          <t>Oculto</t>
        </r>
      </text>
    </comment>
    <comment ref="L15" authorId="0" shapeId="0">
      <text>
        <r>
          <rPr>
            <b/>
            <sz val="9"/>
            <color indexed="81"/>
            <rFont val="Tahoma"/>
            <family val="2"/>
          </rPr>
          <t>Oculto</t>
        </r>
      </text>
    </comment>
    <comment ref="S15" authorId="0" shapeId="0">
      <text>
        <r>
          <rPr>
            <b/>
            <sz val="9"/>
            <color indexed="81"/>
            <rFont val="Tahoma"/>
            <family val="2"/>
          </rPr>
          <t>Oculto</t>
        </r>
      </text>
    </comment>
    <comment ref="AG15" authorId="0" shapeId="0">
      <text>
        <r>
          <rPr>
            <b/>
            <sz val="9"/>
            <color indexed="81"/>
            <rFont val="Tahoma"/>
            <family val="2"/>
          </rPr>
          <t>Oculto</t>
        </r>
      </text>
    </comment>
    <comment ref="AH15" authorId="0" shapeId="0">
      <text>
        <r>
          <rPr>
            <b/>
            <sz val="9"/>
            <color indexed="81"/>
            <rFont val="Tahoma"/>
            <family val="2"/>
          </rPr>
          <t>Oculto</t>
        </r>
      </text>
    </comment>
    <comment ref="AI15" authorId="0" shapeId="0">
      <text>
        <r>
          <rPr>
            <b/>
            <sz val="9"/>
            <color indexed="81"/>
            <rFont val="Tahoma"/>
            <family val="2"/>
          </rPr>
          <t>Oculto</t>
        </r>
      </text>
    </comment>
    <comment ref="AJ15" authorId="0" shapeId="0">
      <text>
        <r>
          <rPr>
            <b/>
            <sz val="9"/>
            <color indexed="81"/>
            <rFont val="Tahoma"/>
            <family val="2"/>
          </rPr>
          <t>Oculto</t>
        </r>
      </text>
    </comment>
    <comment ref="AY15" authorId="0" shapeId="0">
      <text>
        <r>
          <rPr>
            <b/>
            <sz val="9"/>
            <color indexed="81"/>
            <rFont val="Tahoma"/>
            <family val="2"/>
          </rPr>
          <t>Oculto</t>
        </r>
      </text>
    </comment>
    <comment ref="AZ15" authorId="0" shapeId="0">
      <text>
        <r>
          <rPr>
            <b/>
            <sz val="9"/>
            <color indexed="81"/>
            <rFont val="Tahoma"/>
            <family val="2"/>
          </rPr>
          <t>Oculto</t>
        </r>
      </text>
    </comment>
    <comment ref="BA15" authorId="0" shapeId="0">
      <text>
        <r>
          <rPr>
            <b/>
            <sz val="9"/>
            <color indexed="81"/>
            <rFont val="Tahoma"/>
            <charset val="1"/>
          </rPr>
          <t>Oculto</t>
        </r>
      </text>
    </comment>
    <comment ref="E16" authorId="0" shapeId="0">
      <text>
        <r>
          <rPr>
            <b/>
            <sz val="9"/>
            <color indexed="81"/>
            <rFont val="Tahoma"/>
            <family val="2"/>
          </rPr>
          <t>Oculto</t>
        </r>
      </text>
    </comment>
    <comment ref="H16" authorId="0" shapeId="0">
      <text>
        <r>
          <rPr>
            <b/>
            <sz val="9"/>
            <color indexed="81"/>
            <rFont val="Tahoma"/>
            <family val="2"/>
          </rPr>
          <t>Oculto</t>
        </r>
      </text>
    </comment>
    <comment ref="J16" authorId="0" shapeId="0">
      <text>
        <r>
          <rPr>
            <b/>
            <sz val="9"/>
            <color indexed="81"/>
            <rFont val="Tahoma"/>
            <family val="2"/>
          </rPr>
          <t>Oculto</t>
        </r>
      </text>
    </comment>
    <comment ref="L16" authorId="0" shapeId="0">
      <text>
        <r>
          <rPr>
            <b/>
            <sz val="9"/>
            <color indexed="81"/>
            <rFont val="Tahoma"/>
            <family val="2"/>
          </rPr>
          <t>Oculto</t>
        </r>
      </text>
    </comment>
    <comment ref="M16" authorId="0" shapeId="0">
      <text>
        <r>
          <rPr>
            <b/>
            <sz val="9"/>
            <color indexed="81"/>
            <rFont val="Tahoma"/>
            <family val="2"/>
          </rPr>
          <t>Oculto</t>
        </r>
      </text>
    </comment>
    <comment ref="N16" authorId="0" shapeId="0">
      <text>
        <r>
          <rPr>
            <b/>
            <sz val="9"/>
            <color indexed="81"/>
            <rFont val="Tahoma"/>
            <family val="2"/>
          </rPr>
          <t>Oculto</t>
        </r>
      </text>
    </comment>
    <comment ref="Q16" authorId="0" shapeId="0">
      <text>
        <r>
          <rPr>
            <b/>
            <sz val="9"/>
            <color indexed="81"/>
            <rFont val="Tahoma"/>
            <family val="2"/>
          </rPr>
          <t>Oculto</t>
        </r>
      </text>
    </comment>
    <comment ref="R16" authorId="0" shapeId="0">
      <text>
        <r>
          <rPr>
            <b/>
            <sz val="9"/>
            <color indexed="81"/>
            <rFont val="Tahoma"/>
            <family val="2"/>
          </rPr>
          <t>Oculto</t>
        </r>
      </text>
    </comment>
    <comment ref="S16" authorId="0" shapeId="0">
      <text>
        <r>
          <rPr>
            <b/>
            <sz val="9"/>
            <color indexed="81"/>
            <rFont val="Tahoma"/>
            <family val="2"/>
          </rPr>
          <t>Oculto</t>
        </r>
      </text>
    </comment>
    <comment ref="AG16" authorId="0" shapeId="0">
      <text>
        <r>
          <rPr>
            <b/>
            <sz val="9"/>
            <color indexed="81"/>
            <rFont val="Tahoma"/>
            <family val="2"/>
          </rPr>
          <t>Oculto</t>
        </r>
      </text>
    </comment>
    <comment ref="AH16" authorId="0" shapeId="0">
      <text>
        <r>
          <rPr>
            <b/>
            <sz val="9"/>
            <color indexed="81"/>
            <rFont val="Tahoma"/>
            <family val="2"/>
          </rPr>
          <t>Oculto</t>
        </r>
      </text>
    </comment>
    <comment ref="AI16" authorId="0" shapeId="0">
      <text>
        <r>
          <rPr>
            <b/>
            <sz val="9"/>
            <color indexed="81"/>
            <rFont val="Tahoma"/>
            <family val="2"/>
          </rPr>
          <t>Oculto</t>
        </r>
      </text>
    </comment>
    <comment ref="AJ16" authorId="0" shapeId="0">
      <text>
        <r>
          <rPr>
            <b/>
            <sz val="9"/>
            <color indexed="81"/>
            <rFont val="Tahoma"/>
            <family val="2"/>
          </rPr>
          <t>Oculto</t>
        </r>
      </text>
    </comment>
    <comment ref="AY16" authorId="0" shapeId="0">
      <text>
        <r>
          <rPr>
            <b/>
            <sz val="9"/>
            <color indexed="81"/>
            <rFont val="Tahoma"/>
            <family val="2"/>
          </rPr>
          <t>Oculto</t>
        </r>
      </text>
    </comment>
    <comment ref="AZ16" authorId="0" shapeId="0">
      <text>
        <r>
          <rPr>
            <b/>
            <sz val="9"/>
            <color indexed="81"/>
            <rFont val="Tahoma"/>
            <family val="2"/>
          </rPr>
          <t>Oculto</t>
        </r>
      </text>
    </comment>
    <comment ref="BA16" authorId="0" shapeId="0">
      <text>
        <r>
          <rPr>
            <b/>
            <sz val="9"/>
            <color indexed="81"/>
            <rFont val="Tahoma"/>
            <charset val="1"/>
          </rPr>
          <t>Oculto</t>
        </r>
      </text>
    </comment>
    <comment ref="E17" authorId="0" shapeId="0">
      <text>
        <r>
          <rPr>
            <b/>
            <sz val="9"/>
            <color indexed="81"/>
            <rFont val="Tahoma"/>
            <family val="2"/>
          </rPr>
          <t>Oculto</t>
        </r>
      </text>
    </comment>
    <comment ref="H17" authorId="0" shapeId="0">
      <text>
        <r>
          <rPr>
            <b/>
            <sz val="9"/>
            <color indexed="81"/>
            <rFont val="Tahoma"/>
            <family val="2"/>
          </rPr>
          <t>Oculto</t>
        </r>
      </text>
    </comment>
    <comment ref="J17" authorId="0" shapeId="0">
      <text>
        <r>
          <rPr>
            <b/>
            <sz val="9"/>
            <color indexed="81"/>
            <rFont val="Tahoma"/>
            <family val="2"/>
          </rPr>
          <t>Oculto</t>
        </r>
      </text>
    </comment>
    <comment ref="L17" authorId="0" shapeId="0">
      <text>
        <r>
          <rPr>
            <b/>
            <sz val="9"/>
            <color indexed="81"/>
            <rFont val="Tahoma"/>
            <family val="2"/>
          </rPr>
          <t>Oculto</t>
        </r>
      </text>
    </comment>
    <comment ref="S17" authorId="0" shapeId="0">
      <text>
        <r>
          <rPr>
            <b/>
            <sz val="9"/>
            <color indexed="81"/>
            <rFont val="Tahoma"/>
            <family val="2"/>
          </rPr>
          <t>Oculto</t>
        </r>
      </text>
    </comment>
    <comment ref="AG17" authorId="0" shapeId="0">
      <text>
        <r>
          <rPr>
            <b/>
            <sz val="9"/>
            <color indexed="81"/>
            <rFont val="Tahoma"/>
            <family val="2"/>
          </rPr>
          <t>Oculto</t>
        </r>
      </text>
    </comment>
    <comment ref="AH17" authorId="0" shapeId="0">
      <text>
        <r>
          <rPr>
            <b/>
            <sz val="9"/>
            <color indexed="81"/>
            <rFont val="Tahoma"/>
            <family val="2"/>
          </rPr>
          <t>Oculto</t>
        </r>
      </text>
    </comment>
    <comment ref="AI17" authorId="0" shapeId="0">
      <text>
        <r>
          <rPr>
            <b/>
            <sz val="9"/>
            <color indexed="81"/>
            <rFont val="Tahoma"/>
            <family val="2"/>
          </rPr>
          <t>Oculto</t>
        </r>
      </text>
    </comment>
    <comment ref="AJ17" authorId="0" shapeId="0">
      <text>
        <r>
          <rPr>
            <b/>
            <sz val="9"/>
            <color indexed="81"/>
            <rFont val="Tahoma"/>
            <family val="2"/>
          </rPr>
          <t>Oculto</t>
        </r>
      </text>
    </comment>
    <comment ref="AY17" authorId="0" shapeId="0">
      <text>
        <r>
          <rPr>
            <b/>
            <sz val="9"/>
            <color indexed="81"/>
            <rFont val="Tahoma"/>
            <family val="2"/>
          </rPr>
          <t>Oculto</t>
        </r>
      </text>
    </comment>
    <comment ref="AZ17" authorId="0" shapeId="0">
      <text>
        <r>
          <rPr>
            <b/>
            <sz val="9"/>
            <color indexed="81"/>
            <rFont val="Tahoma"/>
            <family val="2"/>
          </rPr>
          <t>Oculto</t>
        </r>
      </text>
    </comment>
    <comment ref="BA17" authorId="0" shapeId="0">
      <text>
        <r>
          <rPr>
            <b/>
            <sz val="9"/>
            <color indexed="81"/>
            <rFont val="Tahoma"/>
            <charset val="1"/>
          </rPr>
          <t>Oculto</t>
        </r>
      </text>
    </comment>
    <comment ref="Z18" authorId="1" shapeId="0">
      <text>
        <r>
          <rPr>
            <b/>
            <sz val="9"/>
            <color indexed="81"/>
            <rFont val="Tahoma"/>
            <family val="2"/>
          </rPr>
          <t>Oculto</t>
        </r>
      </text>
    </comment>
  </commentList>
</comments>
</file>

<file path=xl/comments7.xml><?xml version="1.0" encoding="utf-8"?>
<comments xmlns="http://schemas.openxmlformats.org/spreadsheetml/2006/main">
  <authors>
    <author>Hernandez Mayor, Jose Manuel</author>
    <author>Diez Rodriguez, Susana</author>
    <author>SDR</author>
  </authors>
  <commentList>
    <comment ref="W8" authorId="0" shapeId="0">
      <text>
        <r>
          <rPr>
            <b/>
            <sz val="9"/>
            <color indexed="81"/>
            <rFont val="Tahoma"/>
            <family val="2"/>
          </rPr>
          <t>Oculto</t>
        </r>
      </text>
    </comment>
    <comment ref="X8" authorId="0" shapeId="0">
      <text>
        <r>
          <rPr>
            <b/>
            <sz val="9"/>
            <color indexed="81"/>
            <rFont val="Tahoma"/>
            <family val="2"/>
          </rPr>
          <t>Oculto</t>
        </r>
      </text>
    </comment>
    <comment ref="E9" authorId="1" shapeId="0">
      <text>
        <r>
          <rPr>
            <b/>
            <sz val="9"/>
            <color indexed="81"/>
            <rFont val="Tahoma"/>
            <family val="2"/>
          </rPr>
          <t>Oculto</t>
        </r>
      </text>
    </comment>
    <comment ref="G9" authorId="1" shapeId="0">
      <text>
        <r>
          <rPr>
            <b/>
            <sz val="9"/>
            <color indexed="81"/>
            <rFont val="Tahoma"/>
            <family val="2"/>
          </rPr>
          <t>Oculto</t>
        </r>
      </text>
    </comment>
    <comment ref="J9" authorId="1" shapeId="0">
      <text>
        <r>
          <rPr>
            <b/>
            <sz val="9"/>
            <color indexed="81"/>
            <rFont val="Tahoma"/>
            <family val="2"/>
          </rPr>
          <t>Oculto</t>
        </r>
      </text>
    </comment>
    <comment ref="K9" authorId="1" shapeId="0">
      <text>
        <r>
          <rPr>
            <b/>
            <sz val="9"/>
            <color indexed="81"/>
            <rFont val="Tahoma"/>
            <family val="2"/>
          </rPr>
          <t>Oculto</t>
        </r>
      </text>
    </comment>
    <comment ref="L9" authorId="1" shapeId="0">
      <text>
        <r>
          <rPr>
            <b/>
            <sz val="9"/>
            <color indexed="81"/>
            <rFont val="Tahoma"/>
            <family val="2"/>
          </rPr>
          <t>Oculto</t>
        </r>
      </text>
    </comment>
    <comment ref="M9" authorId="1" shapeId="0">
      <text>
        <r>
          <rPr>
            <b/>
            <sz val="9"/>
            <color indexed="81"/>
            <rFont val="Tahoma"/>
            <family val="2"/>
          </rPr>
          <t>Oculto</t>
        </r>
      </text>
    </comment>
    <comment ref="P9" authorId="1" shapeId="0">
      <text>
        <r>
          <rPr>
            <b/>
            <sz val="9"/>
            <color indexed="81"/>
            <rFont val="Tahoma"/>
            <family val="2"/>
          </rPr>
          <t>Oculto</t>
        </r>
      </text>
    </comment>
    <comment ref="Q9" authorId="1" shapeId="0">
      <text>
        <r>
          <rPr>
            <b/>
            <sz val="9"/>
            <color indexed="81"/>
            <rFont val="Tahoma"/>
            <family val="2"/>
          </rPr>
          <t>Oculto</t>
        </r>
      </text>
    </comment>
    <comment ref="R9" authorId="1" shapeId="0">
      <text>
        <r>
          <rPr>
            <b/>
            <sz val="9"/>
            <color indexed="81"/>
            <rFont val="Tahoma"/>
            <family val="2"/>
          </rPr>
          <t>Oculto</t>
        </r>
      </text>
    </comment>
    <comment ref="W9" authorId="0" shapeId="0">
      <text>
        <r>
          <rPr>
            <b/>
            <sz val="9"/>
            <color indexed="81"/>
            <rFont val="Tahoma"/>
            <family val="2"/>
          </rPr>
          <t>Oculto</t>
        </r>
      </text>
    </comment>
    <comment ref="X9" authorId="0" shapeId="0">
      <text>
        <r>
          <rPr>
            <b/>
            <sz val="9"/>
            <color indexed="81"/>
            <rFont val="Tahoma"/>
            <family val="2"/>
          </rPr>
          <t>Oculto</t>
        </r>
      </text>
    </comment>
    <comment ref="D10" authorId="1" shapeId="0">
      <text>
        <r>
          <rPr>
            <b/>
            <sz val="9"/>
            <color indexed="81"/>
            <rFont val="Tahoma"/>
            <family val="2"/>
          </rPr>
          <t>Oculto</t>
        </r>
      </text>
    </comment>
    <comment ref="E10" authorId="1" shapeId="0">
      <text>
        <r>
          <rPr>
            <b/>
            <sz val="9"/>
            <color indexed="81"/>
            <rFont val="Tahoma"/>
            <family val="2"/>
          </rPr>
          <t>Oculto</t>
        </r>
      </text>
    </comment>
    <comment ref="F10" authorId="1" shapeId="0">
      <text>
        <r>
          <rPr>
            <b/>
            <sz val="9"/>
            <color indexed="81"/>
            <rFont val="Tahoma"/>
            <family val="2"/>
          </rPr>
          <t>Oculto</t>
        </r>
      </text>
    </comment>
    <comment ref="G10" authorId="1" shapeId="0">
      <text>
        <r>
          <rPr>
            <b/>
            <sz val="9"/>
            <color indexed="81"/>
            <rFont val="Tahoma"/>
            <family val="2"/>
          </rPr>
          <t>Oculto</t>
        </r>
      </text>
    </comment>
    <comment ref="J10" authorId="1" shapeId="0">
      <text>
        <r>
          <rPr>
            <b/>
            <sz val="9"/>
            <color indexed="81"/>
            <rFont val="Tahoma"/>
            <family val="2"/>
          </rPr>
          <t>Oculto</t>
        </r>
      </text>
    </comment>
    <comment ref="K10" authorId="1" shapeId="0">
      <text>
        <r>
          <rPr>
            <b/>
            <sz val="9"/>
            <color indexed="81"/>
            <rFont val="Tahoma"/>
            <family val="2"/>
          </rPr>
          <t>Oculto</t>
        </r>
      </text>
    </comment>
    <comment ref="N10" authorId="1" shapeId="0">
      <text>
        <r>
          <rPr>
            <b/>
            <sz val="9"/>
            <color indexed="81"/>
            <rFont val="Tahoma"/>
            <family val="2"/>
          </rPr>
          <t>Oculto</t>
        </r>
      </text>
    </comment>
    <comment ref="O10" authorId="2" shapeId="0">
      <text>
        <r>
          <rPr>
            <b/>
            <sz val="9"/>
            <color indexed="81"/>
            <rFont val="Tahoma"/>
            <family val="2"/>
          </rPr>
          <t>Oculto</t>
        </r>
      </text>
    </comment>
    <comment ref="P10" authorId="1" shapeId="0">
      <text>
        <r>
          <rPr>
            <b/>
            <sz val="9"/>
            <color indexed="81"/>
            <rFont val="Tahoma"/>
            <family val="2"/>
          </rPr>
          <t>Oculto</t>
        </r>
      </text>
    </comment>
    <comment ref="S10" authorId="1" shapeId="0">
      <text>
        <r>
          <rPr>
            <b/>
            <sz val="9"/>
            <color indexed="81"/>
            <rFont val="Tahoma"/>
            <family val="2"/>
          </rPr>
          <t>Oculto</t>
        </r>
      </text>
    </comment>
    <comment ref="T10" authorId="1" shapeId="0">
      <text>
        <r>
          <rPr>
            <b/>
            <sz val="9"/>
            <color indexed="81"/>
            <rFont val="Tahoma"/>
            <family val="2"/>
          </rPr>
          <t>Oculto</t>
        </r>
      </text>
    </comment>
    <comment ref="U10" authorId="1" shapeId="0">
      <text>
        <r>
          <rPr>
            <b/>
            <sz val="9"/>
            <color indexed="81"/>
            <rFont val="Tahoma"/>
            <family val="2"/>
          </rPr>
          <t>Oculto</t>
        </r>
      </text>
    </comment>
    <comment ref="V10" authorId="1" shapeId="0">
      <text>
        <r>
          <rPr>
            <b/>
            <sz val="9"/>
            <color indexed="81"/>
            <rFont val="Tahoma"/>
            <family val="2"/>
          </rPr>
          <t>Oculto</t>
        </r>
      </text>
    </comment>
    <comment ref="Y10" authorId="1" shapeId="0">
      <text>
        <r>
          <rPr>
            <b/>
            <sz val="9"/>
            <color indexed="81"/>
            <rFont val="Tahoma"/>
            <family val="2"/>
          </rPr>
          <t>Oculto</t>
        </r>
      </text>
    </comment>
    <comment ref="AD10" authorId="1" shapeId="0">
      <text>
        <r>
          <rPr>
            <b/>
            <sz val="9"/>
            <color indexed="81"/>
            <rFont val="Tahoma"/>
            <family val="2"/>
          </rPr>
          <t>Oculto</t>
        </r>
      </text>
    </comment>
    <comment ref="AE10" authorId="1" shapeId="0">
      <text>
        <r>
          <rPr>
            <b/>
            <sz val="9"/>
            <color indexed="81"/>
            <rFont val="Tahoma"/>
            <family val="2"/>
          </rPr>
          <t>Oculto</t>
        </r>
      </text>
    </comment>
    <comment ref="AH10" authorId="1" shapeId="0">
      <text>
        <r>
          <rPr>
            <b/>
            <sz val="9"/>
            <color indexed="81"/>
            <rFont val="Tahoma"/>
            <family val="2"/>
          </rPr>
          <t>Oculto</t>
        </r>
      </text>
    </comment>
    <comment ref="AI10" authorId="1" shapeId="0">
      <text>
        <r>
          <rPr>
            <b/>
            <sz val="9"/>
            <color indexed="81"/>
            <rFont val="Tahoma"/>
            <family val="2"/>
          </rPr>
          <t>Oculto</t>
        </r>
      </text>
    </comment>
    <comment ref="AV10" authorId="1" shapeId="0">
      <text>
        <r>
          <rPr>
            <b/>
            <sz val="9"/>
            <color indexed="81"/>
            <rFont val="Tahoma"/>
            <family val="2"/>
          </rPr>
          <t>Oculto</t>
        </r>
      </text>
    </comment>
    <comment ref="AW10" authorId="1" shapeId="0">
      <text>
        <r>
          <rPr>
            <b/>
            <sz val="9"/>
            <color indexed="81"/>
            <rFont val="Tahoma"/>
            <family val="2"/>
          </rPr>
          <t>Oculto</t>
        </r>
      </text>
    </comment>
    <comment ref="BC10" authorId="1" shapeId="0">
      <text>
        <r>
          <rPr>
            <b/>
            <sz val="9"/>
            <color indexed="81"/>
            <rFont val="Tahoma"/>
            <family val="2"/>
          </rPr>
          <t>Oculto</t>
        </r>
      </text>
    </comment>
    <comment ref="BD10" authorId="1" shapeId="0">
      <text>
        <r>
          <rPr>
            <b/>
            <sz val="9"/>
            <color indexed="81"/>
            <rFont val="Tahoma"/>
            <family val="2"/>
          </rPr>
          <t>Oculto</t>
        </r>
      </text>
    </comment>
    <comment ref="BE10" authorId="1" shapeId="0">
      <text>
        <r>
          <rPr>
            <b/>
            <sz val="9"/>
            <color indexed="81"/>
            <rFont val="Tahoma"/>
            <family val="2"/>
          </rPr>
          <t>Oculto</t>
        </r>
      </text>
    </comment>
    <comment ref="E11" authorId="1" shapeId="0">
      <text>
        <r>
          <rPr>
            <b/>
            <sz val="9"/>
            <color indexed="81"/>
            <rFont val="Tahoma"/>
            <family val="2"/>
          </rPr>
          <t>Oculto</t>
        </r>
      </text>
    </comment>
    <comment ref="G11" authorId="1" shapeId="0">
      <text>
        <r>
          <rPr>
            <b/>
            <sz val="9"/>
            <color indexed="81"/>
            <rFont val="Tahoma"/>
            <family val="2"/>
          </rPr>
          <t>Oculto</t>
        </r>
      </text>
    </comment>
    <comment ref="I11" authorId="1" shapeId="0">
      <text>
        <r>
          <rPr>
            <b/>
            <sz val="9"/>
            <color indexed="81"/>
            <rFont val="Tahoma"/>
            <family val="2"/>
          </rPr>
          <t>Oculto</t>
        </r>
      </text>
    </comment>
    <comment ref="J11" authorId="1" shapeId="0">
      <text>
        <r>
          <rPr>
            <b/>
            <sz val="9"/>
            <color indexed="81"/>
            <rFont val="Tahoma"/>
            <family val="2"/>
          </rPr>
          <t>Oculto</t>
        </r>
      </text>
    </comment>
    <comment ref="K11" authorId="1" shapeId="0">
      <text>
        <r>
          <rPr>
            <b/>
            <sz val="9"/>
            <color indexed="81"/>
            <rFont val="Tahoma"/>
            <family val="2"/>
          </rPr>
          <t>Oculto</t>
        </r>
      </text>
    </comment>
    <comment ref="L11" authorId="1" shapeId="0">
      <text>
        <r>
          <rPr>
            <b/>
            <sz val="9"/>
            <color indexed="81"/>
            <rFont val="Tahoma"/>
            <family val="2"/>
          </rPr>
          <t>Oculto</t>
        </r>
      </text>
    </comment>
    <comment ref="M11" authorId="1" shapeId="0">
      <text>
        <r>
          <rPr>
            <b/>
            <sz val="9"/>
            <color indexed="81"/>
            <rFont val="Tahoma"/>
            <family val="2"/>
          </rPr>
          <t>Oculto</t>
        </r>
      </text>
    </comment>
    <comment ref="P11" authorId="1" shapeId="0">
      <text>
        <r>
          <rPr>
            <b/>
            <sz val="9"/>
            <color indexed="81"/>
            <rFont val="Tahoma"/>
            <family val="2"/>
          </rPr>
          <t>Oculto</t>
        </r>
      </text>
    </comment>
    <comment ref="Q11" authorId="1" shapeId="0">
      <text>
        <r>
          <rPr>
            <b/>
            <sz val="9"/>
            <color indexed="81"/>
            <rFont val="Tahoma"/>
            <family val="2"/>
          </rPr>
          <t>Oculto</t>
        </r>
      </text>
    </comment>
    <comment ref="R11" authorId="1" shapeId="0">
      <text>
        <r>
          <rPr>
            <b/>
            <sz val="9"/>
            <color indexed="81"/>
            <rFont val="Tahoma"/>
            <family val="2"/>
          </rPr>
          <t>Oculto</t>
        </r>
      </text>
    </comment>
    <comment ref="W11" authorId="0" shapeId="0">
      <text>
        <r>
          <rPr>
            <b/>
            <sz val="9"/>
            <color indexed="81"/>
            <rFont val="Tahoma"/>
            <family val="2"/>
          </rPr>
          <t>Oculto</t>
        </r>
      </text>
    </comment>
    <comment ref="X11" authorId="0" shapeId="0">
      <text>
        <r>
          <rPr>
            <b/>
            <sz val="9"/>
            <color indexed="81"/>
            <rFont val="Tahoma"/>
            <family val="2"/>
          </rPr>
          <t>Oculto</t>
        </r>
      </text>
    </comment>
    <comment ref="Y11" authorId="1" shapeId="0">
      <text>
        <r>
          <rPr>
            <b/>
            <sz val="9"/>
            <color indexed="81"/>
            <rFont val="Tahoma"/>
            <family val="2"/>
          </rPr>
          <t>Oculto</t>
        </r>
      </text>
    </comment>
    <comment ref="BC11" authorId="1" shapeId="0">
      <text>
        <r>
          <rPr>
            <b/>
            <sz val="9"/>
            <color indexed="81"/>
            <rFont val="Tahoma"/>
            <family val="2"/>
          </rPr>
          <t>Oculto</t>
        </r>
      </text>
    </comment>
    <comment ref="BD11" authorId="1" shapeId="0">
      <text>
        <r>
          <rPr>
            <b/>
            <sz val="9"/>
            <color indexed="81"/>
            <rFont val="Tahoma"/>
            <family val="2"/>
          </rPr>
          <t>Oculto</t>
        </r>
      </text>
    </comment>
    <comment ref="E12" authorId="1" shapeId="0">
      <text>
        <r>
          <rPr>
            <b/>
            <sz val="9"/>
            <color indexed="81"/>
            <rFont val="Tahoma"/>
            <family val="2"/>
          </rPr>
          <t>Oculto</t>
        </r>
      </text>
    </comment>
    <comment ref="F12" authorId="1" shapeId="0">
      <text>
        <r>
          <rPr>
            <b/>
            <sz val="9"/>
            <color indexed="81"/>
            <rFont val="Tahoma"/>
            <family val="2"/>
          </rPr>
          <t>Oculto</t>
        </r>
      </text>
    </comment>
    <comment ref="G12" authorId="1" shapeId="0">
      <text>
        <r>
          <rPr>
            <b/>
            <sz val="9"/>
            <color indexed="81"/>
            <rFont val="Tahoma"/>
            <family val="2"/>
          </rPr>
          <t>Oculto</t>
        </r>
      </text>
    </comment>
    <comment ref="J12" authorId="1" shapeId="0">
      <text>
        <r>
          <rPr>
            <b/>
            <sz val="9"/>
            <color indexed="81"/>
            <rFont val="Tahoma"/>
            <family val="2"/>
          </rPr>
          <t>Oculto</t>
        </r>
      </text>
    </comment>
    <comment ref="K12" authorId="1" shapeId="0">
      <text>
        <r>
          <rPr>
            <b/>
            <sz val="9"/>
            <color indexed="81"/>
            <rFont val="Tahoma"/>
            <family val="2"/>
          </rPr>
          <t>Oculto</t>
        </r>
      </text>
    </comment>
    <comment ref="L12" authorId="1" shapeId="0">
      <text>
        <r>
          <rPr>
            <b/>
            <sz val="9"/>
            <color indexed="81"/>
            <rFont val="Tahoma"/>
            <family val="2"/>
          </rPr>
          <t>Oculto</t>
        </r>
      </text>
    </comment>
    <comment ref="M12" authorId="1" shapeId="0">
      <text>
        <r>
          <rPr>
            <b/>
            <sz val="9"/>
            <color indexed="81"/>
            <rFont val="Tahoma"/>
            <family val="2"/>
          </rPr>
          <t>Oculto</t>
        </r>
      </text>
    </comment>
    <comment ref="P12" authorId="1" shapeId="0">
      <text>
        <r>
          <rPr>
            <b/>
            <sz val="9"/>
            <color indexed="81"/>
            <rFont val="Tahoma"/>
            <family val="2"/>
          </rPr>
          <t>Oculto</t>
        </r>
      </text>
    </comment>
    <comment ref="Q12" authorId="1" shapeId="0">
      <text>
        <r>
          <rPr>
            <b/>
            <sz val="9"/>
            <color indexed="81"/>
            <rFont val="Tahoma"/>
            <family val="2"/>
          </rPr>
          <t>Oculto</t>
        </r>
      </text>
    </comment>
    <comment ref="R12" authorId="1" shapeId="0">
      <text>
        <r>
          <rPr>
            <b/>
            <sz val="9"/>
            <color indexed="81"/>
            <rFont val="Tahoma"/>
            <family val="2"/>
          </rPr>
          <t>Oculto</t>
        </r>
      </text>
    </comment>
    <comment ref="T12" authorId="1" shapeId="0">
      <text>
        <r>
          <rPr>
            <b/>
            <sz val="9"/>
            <color indexed="81"/>
            <rFont val="Tahoma"/>
            <family val="2"/>
          </rPr>
          <t>Oculto</t>
        </r>
      </text>
    </comment>
    <comment ref="Y12" authorId="2" shapeId="0">
      <text>
        <r>
          <rPr>
            <b/>
            <sz val="9"/>
            <color indexed="81"/>
            <rFont val="Tahoma"/>
            <family val="2"/>
          </rPr>
          <t>Oculto</t>
        </r>
      </text>
    </comment>
    <comment ref="BC12" authorId="1" shapeId="0">
      <text>
        <r>
          <rPr>
            <b/>
            <sz val="9"/>
            <color indexed="81"/>
            <rFont val="Tahoma"/>
            <family val="2"/>
          </rPr>
          <t>Oculto</t>
        </r>
      </text>
    </comment>
    <comment ref="BD12" authorId="1" shapeId="0">
      <text>
        <r>
          <rPr>
            <b/>
            <sz val="9"/>
            <color indexed="81"/>
            <rFont val="Tahoma"/>
            <family val="2"/>
          </rPr>
          <t>Oculto</t>
        </r>
      </text>
    </comment>
    <comment ref="BE12" authorId="1" shapeId="0">
      <text>
        <r>
          <rPr>
            <b/>
            <sz val="9"/>
            <color indexed="81"/>
            <rFont val="Tahoma"/>
            <family val="2"/>
          </rPr>
          <t>Oculto</t>
        </r>
      </text>
    </comment>
    <comment ref="E15" authorId="1" shapeId="0">
      <text>
        <r>
          <rPr>
            <b/>
            <sz val="9"/>
            <color indexed="81"/>
            <rFont val="Tahoma"/>
            <family val="2"/>
          </rPr>
          <t>Oculto</t>
        </r>
      </text>
    </comment>
    <comment ref="I15" authorId="1" shapeId="0">
      <text>
        <r>
          <rPr>
            <b/>
            <sz val="9"/>
            <color indexed="81"/>
            <rFont val="Tahoma"/>
            <family val="2"/>
          </rPr>
          <t>Oculto</t>
        </r>
      </text>
    </comment>
    <comment ref="S15" authorId="1" shapeId="0">
      <text>
        <r>
          <rPr>
            <b/>
            <sz val="9"/>
            <color indexed="81"/>
            <rFont val="Tahoma"/>
            <family val="2"/>
          </rPr>
          <t>Oculto</t>
        </r>
      </text>
    </comment>
    <comment ref="T15" authorId="1" shapeId="0">
      <text>
        <r>
          <rPr>
            <b/>
            <sz val="9"/>
            <color indexed="81"/>
            <rFont val="Tahoma"/>
            <family val="2"/>
          </rPr>
          <t>Oculto</t>
        </r>
      </text>
    </comment>
    <comment ref="Y15" authorId="1" shapeId="0">
      <text>
        <r>
          <rPr>
            <b/>
            <sz val="9"/>
            <color indexed="81"/>
            <rFont val="Tahoma"/>
            <family val="2"/>
          </rPr>
          <t>Oculto</t>
        </r>
      </text>
    </comment>
    <comment ref="AK15" authorId="1" shapeId="0">
      <text>
        <r>
          <rPr>
            <b/>
            <sz val="9"/>
            <color indexed="81"/>
            <rFont val="Tahoma"/>
            <family val="2"/>
          </rPr>
          <t>Oculto</t>
        </r>
      </text>
    </comment>
    <comment ref="BC15" authorId="1" shapeId="0">
      <text>
        <r>
          <rPr>
            <b/>
            <sz val="9"/>
            <color indexed="81"/>
            <rFont val="Tahoma"/>
            <family val="2"/>
          </rPr>
          <t>Oculto</t>
        </r>
      </text>
    </comment>
    <comment ref="BD15" authorId="1" shapeId="0">
      <text>
        <r>
          <rPr>
            <b/>
            <sz val="9"/>
            <color indexed="81"/>
            <rFont val="Tahoma"/>
            <family val="2"/>
          </rPr>
          <t>Oculto</t>
        </r>
      </text>
    </comment>
    <comment ref="E16" authorId="1" shapeId="0">
      <text>
        <r>
          <rPr>
            <b/>
            <sz val="9"/>
            <color indexed="81"/>
            <rFont val="Tahoma"/>
            <family val="2"/>
          </rPr>
          <t>Oculto</t>
        </r>
      </text>
    </comment>
    <comment ref="H16" authorId="1" shapeId="0">
      <text>
        <r>
          <rPr>
            <b/>
            <sz val="9"/>
            <color indexed="81"/>
            <rFont val="Tahoma"/>
            <family val="2"/>
          </rPr>
          <t>Oculto</t>
        </r>
      </text>
    </comment>
    <comment ref="I16" authorId="1" shapeId="0">
      <text>
        <r>
          <rPr>
            <b/>
            <sz val="9"/>
            <color indexed="81"/>
            <rFont val="Tahoma"/>
            <family val="2"/>
          </rPr>
          <t>Oculto</t>
        </r>
      </text>
    </comment>
    <comment ref="L16" authorId="1" shapeId="0">
      <text>
        <r>
          <rPr>
            <b/>
            <sz val="9"/>
            <color indexed="81"/>
            <rFont val="Tahoma"/>
            <family val="2"/>
          </rPr>
          <t>Oculto</t>
        </r>
      </text>
    </comment>
    <comment ref="M16" authorId="1" shapeId="0">
      <text>
        <r>
          <rPr>
            <b/>
            <sz val="9"/>
            <color indexed="81"/>
            <rFont val="Tahoma"/>
            <family val="2"/>
          </rPr>
          <t>Oculto</t>
        </r>
      </text>
    </comment>
    <comment ref="Q16" authorId="1" shapeId="0">
      <text>
        <r>
          <rPr>
            <b/>
            <sz val="9"/>
            <color indexed="81"/>
            <rFont val="Tahoma"/>
            <family val="2"/>
          </rPr>
          <t>Oculto</t>
        </r>
      </text>
    </comment>
    <comment ref="R16" authorId="1" shapeId="0">
      <text>
        <r>
          <rPr>
            <b/>
            <sz val="9"/>
            <color indexed="81"/>
            <rFont val="Tahoma"/>
            <family val="2"/>
          </rPr>
          <t>Oculto</t>
        </r>
      </text>
    </comment>
    <comment ref="T16" authorId="1" shapeId="0">
      <text>
        <r>
          <rPr>
            <b/>
            <sz val="9"/>
            <color indexed="81"/>
            <rFont val="Tahoma"/>
            <family val="2"/>
          </rPr>
          <t>Oculto</t>
        </r>
      </text>
    </comment>
    <comment ref="Y16" authorId="1" shapeId="0">
      <text>
        <r>
          <rPr>
            <b/>
            <sz val="9"/>
            <color indexed="81"/>
            <rFont val="Tahoma"/>
            <family val="2"/>
          </rPr>
          <t>Oculto</t>
        </r>
      </text>
    </comment>
    <comment ref="AK16" authorId="1" shapeId="0">
      <text>
        <r>
          <rPr>
            <b/>
            <sz val="9"/>
            <color indexed="81"/>
            <rFont val="Tahoma"/>
            <family val="2"/>
          </rPr>
          <t>Oculto</t>
        </r>
      </text>
    </comment>
    <comment ref="BC16" authorId="1" shapeId="0">
      <text>
        <r>
          <rPr>
            <b/>
            <sz val="9"/>
            <color indexed="81"/>
            <rFont val="Tahoma"/>
            <family val="2"/>
          </rPr>
          <t>Oculto</t>
        </r>
      </text>
    </comment>
    <comment ref="BD16" authorId="1" shapeId="0">
      <text>
        <r>
          <rPr>
            <b/>
            <sz val="9"/>
            <color indexed="81"/>
            <rFont val="Tahoma"/>
            <family val="2"/>
          </rPr>
          <t>Oculto</t>
        </r>
      </text>
    </comment>
    <comment ref="E17" authorId="1" shapeId="0">
      <text>
        <r>
          <rPr>
            <b/>
            <sz val="9"/>
            <color indexed="81"/>
            <rFont val="Tahoma"/>
            <family val="2"/>
          </rPr>
          <t>Oculto</t>
        </r>
      </text>
    </comment>
    <comment ref="H17" authorId="1" shapeId="0">
      <text>
        <r>
          <rPr>
            <b/>
            <sz val="9"/>
            <color indexed="81"/>
            <rFont val="Tahoma"/>
            <family val="2"/>
          </rPr>
          <t>Oculto</t>
        </r>
      </text>
    </comment>
    <comment ref="I17" authorId="1" shapeId="0">
      <text>
        <r>
          <rPr>
            <b/>
            <sz val="9"/>
            <color indexed="81"/>
            <rFont val="Tahoma"/>
            <family val="2"/>
          </rPr>
          <t>Oculto</t>
        </r>
      </text>
    </comment>
    <comment ref="S17" authorId="1" shapeId="0">
      <text>
        <r>
          <rPr>
            <b/>
            <sz val="9"/>
            <color indexed="81"/>
            <rFont val="Tahoma"/>
            <family val="2"/>
          </rPr>
          <t>Oculto</t>
        </r>
      </text>
    </comment>
    <comment ref="T17" authorId="1" shapeId="0">
      <text>
        <r>
          <rPr>
            <b/>
            <sz val="9"/>
            <color indexed="81"/>
            <rFont val="Tahoma"/>
            <family val="2"/>
          </rPr>
          <t>Oculto</t>
        </r>
      </text>
    </comment>
    <comment ref="Y17" authorId="1" shapeId="0">
      <text>
        <r>
          <rPr>
            <b/>
            <sz val="9"/>
            <color indexed="81"/>
            <rFont val="Tahoma"/>
            <family val="2"/>
          </rPr>
          <t>Oculto</t>
        </r>
      </text>
    </comment>
    <comment ref="AK17" authorId="1" shapeId="0">
      <text>
        <r>
          <rPr>
            <b/>
            <sz val="9"/>
            <color indexed="81"/>
            <rFont val="Tahoma"/>
            <family val="2"/>
          </rPr>
          <t>Oculto</t>
        </r>
      </text>
    </comment>
    <comment ref="BC17" authorId="1" shapeId="0">
      <text>
        <r>
          <rPr>
            <b/>
            <sz val="9"/>
            <color indexed="81"/>
            <rFont val="Tahoma"/>
            <family val="2"/>
          </rPr>
          <t>Oculto</t>
        </r>
      </text>
    </comment>
    <comment ref="BD17" authorId="1" shapeId="0">
      <text>
        <r>
          <rPr>
            <b/>
            <sz val="9"/>
            <color indexed="81"/>
            <rFont val="Tahoma"/>
            <family val="2"/>
          </rPr>
          <t>Oculto</t>
        </r>
      </text>
    </comment>
  </commentList>
</comments>
</file>

<file path=xl/sharedStrings.xml><?xml version="1.0" encoding="utf-8"?>
<sst xmlns="http://schemas.openxmlformats.org/spreadsheetml/2006/main" count="2102" uniqueCount="918">
  <si>
    <t>TOTAL</t>
  </si>
  <si>
    <t>TOTAL JURISDICCIONES</t>
  </si>
  <si>
    <t>CB</t>
  </si>
  <si>
    <t>DT</t>
  </si>
  <si>
    <t>TC</t>
  </si>
  <si>
    <t>Nº Asuntos</t>
  </si>
  <si>
    <t>Media x Órgano</t>
  </si>
  <si>
    <t>Sentencias</t>
  </si>
  <si>
    <t>Autos</t>
  </si>
  <si>
    <t>Resueltos</t>
  </si>
  <si>
    <t>Registradas</t>
  </si>
  <si>
    <t>Resolución de Asuntos</t>
  </si>
  <si>
    <t>Tasas</t>
  </si>
  <si>
    <t>Ingresados</t>
  </si>
  <si>
    <t xml:space="preserve">Resueltas </t>
  </si>
  <si>
    <t xml:space="preserve">Ejecutorias </t>
  </si>
  <si>
    <t>Resueltas</t>
  </si>
  <si>
    <t>Pendientes</t>
  </si>
  <si>
    <t>Pendencias Incio</t>
  </si>
  <si>
    <t>Pendencias Final</t>
  </si>
  <si>
    <t>04</t>
  </si>
  <si>
    <t>01</t>
  </si>
  <si>
    <t>03</t>
  </si>
  <si>
    <t>Pendientes fin</t>
  </si>
  <si>
    <t>Clasificación</t>
  </si>
  <si>
    <t>TTC</t>
  </si>
  <si>
    <t>CB = Cabecera</t>
  </si>
  <si>
    <t>DT = Dato</t>
  </si>
  <si>
    <t>TC = Total Calculado</t>
  </si>
  <si>
    <t>TTC = Total Totales Calculados</t>
  </si>
  <si>
    <t>Jurisdicción voluntaria</t>
  </si>
  <si>
    <t>Diligencias indeterminadas</t>
  </si>
  <si>
    <t>Ejecución de Sentencias</t>
  </si>
  <si>
    <t>Delimitadores</t>
  </si>
  <si>
    <t>Leyenda Delimitadores</t>
  </si>
  <si>
    <t>Csasenmu</t>
  </si>
  <si>
    <t>ccodespe like 'F%'</t>
  </si>
  <si>
    <t>Año:</t>
  </si>
  <si>
    <t>AUTOST13</t>
  </si>
  <si>
    <t>TCIVI215</t>
  </si>
  <si>
    <t>TCIVI515</t>
  </si>
  <si>
    <t>% Ingreso Computable total</t>
  </si>
  <si>
    <t>Puntos  dedic. Magistrado
residual</t>
  </si>
  <si>
    <t>110</t>
  </si>
  <si>
    <t>DILII124</t>
  </si>
  <si>
    <t xml:space="preserve">Jdos. 1ª Instancia   </t>
  </si>
  <si>
    <t>34</t>
  </si>
  <si>
    <t>10</t>
  </si>
  <si>
    <t>DILII224</t>
  </si>
  <si>
    <t>DILII424</t>
  </si>
  <si>
    <t>DILII524</t>
  </si>
  <si>
    <t>02</t>
  </si>
  <si>
    <t>Campos Asociados a:</t>
  </si>
  <si>
    <t>Jurisdicción voluntaria ANUAL</t>
  </si>
  <si>
    <t>Diligencias indeterminadas ANUAL</t>
  </si>
  <si>
    <t>NO</t>
  </si>
  <si>
    <t>9</t>
  </si>
  <si>
    <t>11</t>
  </si>
  <si>
    <t>12</t>
  </si>
  <si>
    <t>13</t>
  </si>
  <si>
    <t>14</t>
  </si>
  <si>
    <t>15</t>
  </si>
  <si>
    <t>16</t>
  </si>
  <si>
    <t>17</t>
  </si>
  <si>
    <t>18</t>
  </si>
  <si>
    <t>19</t>
  </si>
  <si>
    <t>20</t>
  </si>
  <si>
    <t>21</t>
  </si>
  <si>
    <t>22</t>
  </si>
  <si>
    <t>23</t>
  </si>
  <si>
    <t>24</t>
  </si>
  <si>
    <t>25</t>
  </si>
  <si>
    <t>26</t>
  </si>
  <si>
    <t>27</t>
  </si>
  <si>
    <t>28</t>
  </si>
  <si>
    <t>29</t>
  </si>
  <si>
    <t>30</t>
  </si>
  <si>
    <t>31</t>
  </si>
  <si>
    <t>32</t>
  </si>
  <si>
    <t>33</t>
  </si>
  <si>
    <t>35</t>
  </si>
  <si>
    <t>36</t>
  </si>
  <si>
    <t>37</t>
  </si>
  <si>
    <t>38</t>
  </si>
  <si>
    <t>39</t>
  </si>
  <si>
    <t>41</t>
  </si>
  <si>
    <t>SENTENCIAS</t>
  </si>
  <si>
    <t>AUTOS</t>
  </si>
  <si>
    <t>42</t>
  </si>
  <si>
    <t>Magistrados</t>
  </si>
  <si>
    <t>Excluir Diligencias Indeterminadas:</t>
  </si>
  <si>
    <t>TCIVI615</t>
  </si>
  <si>
    <t xml:space="preserve">Ingresados </t>
  </si>
  <si>
    <t>Nº Sentencias</t>
  </si>
  <si>
    <t>Nº Autos</t>
  </si>
  <si>
    <t>Resolución</t>
  </si>
  <si>
    <t>Pendencia</t>
  </si>
  <si>
    <t>Sentencia</t>
  </si>
  <si>
    <t>Congestión</t>
  </si>
  <si>
    <r>
      <t>los comentarios</t>
    </r>
    <r>
      <rPr>
        <sz val="10"/>
        <rFont val="Arial"/>
        <family val="2"/>
      </rPr>
      <t xml:space="preserve"> introducidos las columnas nº de Organo y Nº de boletines se usan para evitar que formen pate de la suma total de esas columnas</t>
    </r>
  </si>
  <si>
    <t>ACTIVIDAD POR JURISDICCIÓN</t>
  </si>
  <si>
    <t xml:space="preserve">Jurisdicción Penal ( 2 ):                      </t>
  </si>
  <si>
    <t>Jurisdicción Civil ( 1 ):</t>
  </si>
  <si>
    <t>43</t>
  </si>
  <si>
    <t>44</t>
  </si>
  <si>
    <t>45</t>
  </si>
  <si>
    <t>46</t>
  </si>
  <si>
    <t>Año Anterior</t>
  </si>
  <si>
    <t>Datos Año  Anterior</t>
  </si>
  <si>
    <t>Tasa Año  Anterior</t>
  </si>
  <si>
    <t>47</t>
  </si>
  <si>
    <t>48</t>
  </si>
  <si>
    <t>49</t>
  </si>
  <si>
    <t>50</t>
  </si>
  <si>
    <t>51</t>
  </si>
  <si>
    <t>Nº de Asuntos</t>
  </si>
  <si>
    <t>Órganos</t>
  </si>
  <si>
    <t>Nº</t>
  </si>
  <si>
    <t xml:space="preserve">Evolución </t>
  </si>
  <si>
    <t>Tasas Resolución</t>
  </si>
  <si>
    <t>Tasas Pendencia</t>
  </si>
  <si>
    <t>Tasas Sentencia</t>
  </si>
  <si>
    <t>Tasas Congestión</t>
  </si>
  <si>
    <t>Magistrados, Jueces</t>
  </si>
  <si>
    <t>Excluir Jurisdicción Voluntaria:</t>
  </si>
  <si>
    <t xml:space="preserve">ccodtorg </t>
  </si>
  <si>
    <t>Sub-modelo / nota:Residual en</t>
  </si>
  <si>
    <t>SI</t>
  </si>
  <si>
    <t>En Tramite Al Inicio Del Periodo</t>
  </si>
  <si>
    <t>En Tramite Al Final Del Periodo</t>
  </si>
  <si>
    <t>52</t>
  </si>
  <si>
    <t>Nº de Órganos que emiten un tipo concreto</t>
  </si>
  <si>
    <t>Nº de Órganos B</t>
  </si>
  <si>
    <t>Magistrados B</t>
  </si>
  <si>
    <t>TVOLU115+INTEV115</t>
  </si>
  <si>
    <t>TVOLU215+INTEV215</t>
  </si>
  <si>
    <t>TVOLU315+INTEV315</t>
  </si>
  <si>
    <t>TVOLU415+INTEV415</t>
  </si>
  <si>
    <t>53</t>
  </si>
  <si>
    <t>AUTOST85</t>
  </si>
  <si>
    <t>EJECU247</t>
  </si>
  <si>
    <t>EJECU547</t>
  </si>
  <si>
    <t>EJECU647</t>
  </si>
  <si>
    <t>Jdos. Violencia contra la mujer</t>
  </si>
  <si>
    <t>TPROC122</t>
  </si>
  <si>
    <t>TPROC522</t>
  </si>
  <si>
    <t>TPROC622</t>
  </si>
  <si>
    <t>Nº de Órganos que emiten un tipo concreto TRIMESTRE ANTERIOR</t>
  </si>
  <si>
    <t>Nº de Órganos B TRIMESTRE ANTERIOR</t>
  </si>
  <si>
    <t>54</t>
  </si>
  <si>
    <t>AUTART25+AUTOT125+AUTOT225</t>
  </si>
  <si>
    <t>AUTMED81+AUTRES81</t>
  </si>
  <si>
    <t>NOTA ACLARATORIA: En el año 2007 se ha pasado a recoger, por primera vez, el dato de número de autos finales en los órganos de la jurisdicción penal. 
Por este motivo el dato de la evolución de los autos, en los órganos de esta jurisdicción,  respecto al mismo periodo del año anterior carece de significación</t>
  </si>
  <si>
    <t>56</t>
  </si>
  <si>
    <t>MODULO DE ENTRADA 1</t>
  </si>
  <si>
    <t>MODULO DE ENTRADA 2</t>
  </si>
  <si>
    <t>57</t>
  </si>
  <si>
    <t>58</t>
  </si>
  <si>
    <t>40</t>
  </si>
  <si>
    <t>ULTSEN24</t>
  </si>
  <si>
    <t>A             ASUNTOS ingresados</t>
  </si>
  <si>
    <t>Inferior</t>
  </si>
  <si>
    <t>Superior</t>
  </si>
  <si>
    <t>% Ingreso Computable</t>
  </si>
  <si>
    <t>A             ASUNTOS ingresados 2</t>
  </si>
  <si>
    <t>A             ASUNTOS ingresados 3</t>
  </si>
  <si>
    <t xml:space="preserve">      SOLO Monitorios ingresados</t>
  </si>
  <si>
    <t>97</t>
  </si>
  <si>
    <t>Ejecuciones Reiniciadas</t>
  </si>
  <si>
    <t>RESOLUCIONNº H/P</t>
  </si>
  <si>
    <t xml:space="preserve"> % S/INDICADOR  DE RESOLUCION (Horas punto)</t>
  </si>
  <si>
    <t>TOTAL
RESOLUCIONNº H/P</t>
  </si>
  <si>
    <t>Resolución ingresados   A</t>
  </si>
  <si>
    <t>Resolución ejecuciones  B</t>
  </si>
  <si>
    <t>Resolución 
TOTAL C</t>
  </si>
  <si>
    <t>Resolución 
Monitorios</t>
  </si>
  <si>
    <t>Pendencia  A</t>
  </si>
  <si>
    <t>Pendencia  B</t>
  </si>
  <si>
    <t>Pendencia  
A+B</t>
  </si>
  <si>
    <t>Pendencia   Monitorios</t>
  </si>
  <si>
    <t>Nª Sentencias menos 3 m</t>
  </si>
  <si>
    <t xml:space="preserve">Nª sentencias entre 3 y 6m </t>
  </si>
  <si>
    <t>Nº TOTAL Sentencias Pendientes</t>
  </si>
  <si>
    <t>Nº TOTAL Sentencias dictadas</t>
  </si>
  <si>
    <t>Variación de Pendientes
A</t>
  </si>
  <si>
    <t>Variación de Pendientes 
B</t>
  </si>
  <si>
    <t>98</t>
  </si>
  <si>
    <t>99</t>
  </si>
  <si>
    <t>100</t>
  </si>
  <si>
    <t>101</t>
  </si>
  <si>
    <t>102</t>
  </si>
  <si>
    <t>103</t>
  </si>
  <si>
    <t>104</t>
  </si>
  <si>
    <t>105</t>
  </si>
  <si>
    <t>106</t>
  </si>
  <si>
    <t>MODULO DE ENTRADA 1
INSPECCIÓN</t>
  </si>
  <si>
    <t>MODULO DE ENTRADA 2
INSPECCIÓN</t>
  </si>
  <si>
    <t>MODULO DE ENTRADA 3
INSPECCIÓN</t>
  </si>
  <si>
    <t>107</t>
  </si>
  <si>
    <t>108</t>
  </si>
  <si>
    <t>Nª Sentencias más de 6m</t>
  </si>
  <si>
    <t>M. TeórIco 1</t>
  </si>
  <si>
    <t>M. TeórIco 2</t>
  </si>
  <si>
    <t>M. TeórIco 3</t>
  </si>
  <si>
    <t>M. TeórIco Tot</t>
  </si>
  <si>
    <t>Nº jueces/ magistrados</t>
  </si>
  <si>
    <t>Año Actual</t>
  </si>
  <si>
    <t>Entrada Total</t>
  </si>
  <si>
    <t>Entrada por juzgado/
magistrado</t>
  </si>
  <si>
    <t>Entrada en relación al Módulo teórico</t>
  </si>
  <si>
    <t>Año 
Actual</t>
  </si>
  <si>
    <t>MODULO AÑO ANTERIOR</t>
  </si>
  <si>
    <t>59</t>
  </si>
  <si>
    <t>60</t>
  </si>
  <si>
    <t>MAGISTRADOS AÑO ANTERIOR</t>
  </si>
  <si>
    <t>Trimestre desde</t>
  </si>
  <si>
    <t>Trimestre hasta</t>
  </si>
  <si>
    <t>55</t>
  </si>
  <si>
    <t>Carga de trabajo 
por localidades</t>
  </si>
  <si>
    <t>Módulo 
teórico</t>
  </si>
  <si>
    <t>61</t>
  </si>
  <si>
    <t>MAGISTRADOS AÑO ANTERIOR B</t>
  </si>
  <si>
    <t>Nº jueces/ magistrados
(que graban)</t>
  </si>
  <si>
    <t>Decretos</t>
  </si>
  <si>
    <t>DECRET13</t>
  </si>
  <si>
    <t>DECRED25+DECREE25</t>
  </si>
  <si>
    <t>DECRE181+DECRE281</t>
  </si>
  <si>
    <t>DECRE585</t>
  </si>
  <si>
    <t>Factor normalización dedicación magistrados por trimestre</t>
  </si>
  <si>
    <t>Carácter de actuación</t>
  </si>
  <si>
    <t>89</t>
  </si>
  <si>
    <t>62</t>
  </si>
  <si>
    <t>DECRETOS</t>
  </si>
  <si>
    <t>Nº Decretos</t>
  </si>
  <si>
    <t>63</t>
  </si>
  <si>
    <t>64</t>
  </si>
  <si>
    <t>MODULO DE RESOLUCION 2</t>
  </si>
  <si>
    <t>MODULO DE PENDENCIA 2</t>
  </si>
  <si>
    <t>MODULO DE RESOLUCION 1</t>
  </si>
  <si>
    <t>MODULO DE PENDENCIA 1</t>
  </si>
  <si>
    <t>65</t>
  </si>
  <si>
    <t>TCIVI315+NVL(EJTOT319,0)</t>
  </si>
  <si>
    <t>EJECU347</t>
  </si>
  <si>
    <t>TCIVI315</t>
  </si>
  <si>
    <t>TCIVI315+NVL(EJECU347,0)+NVL(EJTOT319,0)</t>
  </si>
  <si>
    <t xml:space="preserve">(ccodespe like 'F%') 
(ccodespe like 'F%' or ccodespe like 'IN' or ccodespe like 'EC') </t>
  </si>
  <si>
    <t>C</t>
  </si>
  <si>
    <t>Escritos pendientes hasta 30 días</t>
  </si>
  <si>
    <t>Escritos pendientes mas de 30 días</t>
  </si>
  <si>
    <t>Tasa Resolución</t>
  </si>
  <si>
    <t>Tasa Sentencia</t>
  </si>
  <si>
    <t>Tasa Congestión</t>
  </si>
  <si>
    <t>Escritos pendientes de proveeer hasta 30 días</t>
  </si>
  <si>
    <t>Escritos Pendientes de proveer más de 30 días</t>
  </si>
  <si>
    <t>ESCHAT15</t>
  </si>
  <si>
    <t>ESCMAT15</t>
  </si>
  <si>
    <t>66</t>
  </si>
  <si>
    <t>67</t>
  </si>
  <si>
    <t>68</t>
  </si>
  <si>
    <t>Puntos Dedicación</t>
  </si>
  <si>
    <t>69</t>
  </si>
  <si>
    <t>En Tramite Al Inicio Del Periodo (Regularizado)</t>
  </si>
  <si>
    <t>Límite Superior</t>
  </si>
  <si>
    <t>Límite Inferirior</t>
  </si>
  <si>
    <t>MEDIA</t>
  </si>
  <si>
    <t>DESVIACIÓN TÍPICA</t>
  </si>
  <si>
    <t>70</t>
  </si>
  <si>
    <t>71</t>
  </si>
  <si>
    <t>72</t>
  </si>
  <si>
    <t>Monitorios Resuletos</t>
  </si>
  <si>
    <t>Monitorios Pendientes fin</t>
  </si>
  <si>
    <t>Monitorios Ingresados</t>
  </si>
  <si>
    <t>Sentencias Pendientes</t>
  </si>
  <si>
    <t>Año anterior</t>
  </si>
  <si>
    <t>Ingresados año anterior</t>
  </si>
  <si>
    <t>Resuleltos año anterior</t>
  </si>
  <si>
    <t>al finalizar año anterior</t>
  </si>
  <si>
    <t>monitorios año anterior</t>
  </si>
  <si>
    <t>jurisdiccion voluntaria año anterior</t>
  </si>
  <si>
    <r>
      <t>Monitorios</t>
    </r>
    <r>
      <rPr>
        <b/>
        <sz val="12"/>
        <rFont val="Times New Roman"/>
        <family val="1"/>
      </rPr>
      <t xml:space="preserve"> Ingresados</t>
    </r>
  </si>
  <si>
    <r>
      <t>Monitorios</t>
    </r>
    <r>
      <rPr>
        <b/>
        <sz val="12"/>
        <rFont val="Times New Roman"/>
        <family val="1"/>
      </rPr>
      <t xml:space="preserve"> Resuletos</t>
    </r>
  </si>
  <si>
    <r>
      <t>Monitorios</t>
    </r>
    <r>
      <rPr>
        <b/>
        <sz val="12"/>
        <rFont val="Times New Roman"/>
        <family val="1"/>
      </rPr>
      <t xml:space="preserve"> Pendientes fin</t>
    </r>
  </si>
  <si>
    <t>73</t>
  </si>
  <si>
    <t>74</t>
  </si>
  <si>
    <t>75</t>
  </si>
  <si>
    <t>MONIE211+MONIT211</t>
  </si>
  <si>
    <t>MONIE311+MONIT311</t>
  </si>
  <si>
    <t>MONIE411+MONIT411</t>
  </si>
  <si>
    <r>
      <t>Monitorios</t>
    </r>
    <r>
      <rPr>
        <b/>
        <sz val="12"/>
        <rFont val="Times New Roman"/>
        <family val="1"/>
      </rPr>
      <t xml:space="preserve"> Pendientes Inicio</t>
    </r>
  </si>
  <si>
    <t>76</t>
  </si>
  <si>
    <t>MONIE111+MONIT111</t>
  </si>
  <si>
    <t>77</t>
  </si>
  <si>
    <t>Monitorios Pendientes inicio</t>
  </si>
  <si>
    <t>P inicio</t>
  </si>
  <si>
    <t>Suspendidos</t>
  </si>
  <si>
    <t>Señalados</t>
  </si>
  <si>
    <t>78</t>
  </si>
  <si>
    <t>79</t>
  </si>
  <si>
    <t>SENIJ115</t>
  </si>
  <si>
    <t>TSEJU322</t>
  </si>
  <si>
    <t>SENIJ147</t>
  </si>
  <si>
    <t>% Señalamientos suspendidos</t>
  </si>
  <si>
    <t>Variación de Pendientes</t>
  </si>
  <si>
    <t>ESCHAT15+NVL(EPTOT319,0)+NVL(ESCHAT24,0)</t>
  </si>
  <si>
    <t>ESCMAT15+NVL(EPTOT419,0)+NVL(ESCMAT24,0)</t>
  </si>
  <si>
    <t>ESCHAT24+NVL(ESCHAT22,0)+NVL(ESCHAT15,0)</t>
  </si>
  <si>
    <t>ESCMAT24+NVL(ESCMAT22,0)+NVL(ESCMAT15,0)</t>
  </si>
  <si>
    <t>1088,1088
1001,1088
935,1088
870,1088</t>
  </si>
  <si>
    <t>1088,1262
1001,1262
935,1262
870,1262</t>
  </si>
  <si>
    <t>SENPEN81</t>
  </si>
  <si>
    <t>SENPEN85</t>
  </si>
  <si>
    <t>ESCHAT22</t>
  </si>
  <si>
    <t>ESCMAT22</t>
  </si>
  <si>
    <t>Sentencias pendientes juez</t>
  </si>
  <si>
    <t>SENPEN86</t>
  </si>
  <si>
    <t>SENPEN82</t>
  </si>
  <si>
    <t>90</t>
  </si>
  <si>
    <t>MODULO TEORICO ENTRADA ÓRGANO</t>
  </si>
  <si>
    <t>Número de magistrados</t>
  </si>
  <si>
    <t>91</t>
  </si>
  <si>
    <t xml:space="preserve">% S/INDICADOR DE RESOLUCIÓN TOTAL (CIVIL Y PENAL) </t>
  </si>
  <si>
    <t>Fecha señalamiento más alejada en el tiempo</t>
  </si>
  <si>
    <t>Ejecuciones reiniciadas</t>
  </si>
  <si>
    <t>DECRET13+NVL(DECRE392,0)</t>
  </si>
  <si>
    <t>AUTART25+AUTOT125+AUTOT225+NVL(AUTMED81,0)+NVL(AUTRES81,0)</t>
  </si>
  <si>
    <t>DECRED25+DECREE25+NVL(DECRE181,0)+NVL(DECRE281,0)</t>
  </si>
  <si>
    <t>JUICI224+JUICI324</t>
  </si>
  <si>
    <t>DILPR222+DILPR322+DILPR422
DILPR222+DILPR322+DILPR422
DILPR222+DILPR322+DILPR422</t>
  </si>
  <si>
    <t>DILUR522
DILUR522
DILUR522</t>
  </si>
  <si>
    <t>DILPR522
DILPR522
DILPR522</t>
  </si>
  <si>
    <t>DILUR622
DILUR622
DILUR622</t>
  </si>
  <si>
    <t>DILPR622
DILPR622
DILPR622</t>
  </si>
  <si>
    <t>1088
1001
935
870</t>
  </si>
  <si>
    <t>Asuntos Pendientes de Incoar</t>
  </si>
  <si>
    <t>92</t>
  </si>
  <si>
    <t>93</t>
  </si>
  <si>
    <t>DEMPEN11</t>
  </si>
  <si>
    <t>DEMPEN24</t>
  </si>
  <si>
    <t>DEMPEN22</t>
  </si>
  <si>
    <t>DEMPEN47</t>
  </si>
  <si>
    <t>Fecha más adelantada señalamiento</t>
  </si>
  <si>
    <t>ULTSEN22</t>
  </si>
  <si>
    <t>ULTSEN47</t>
  </si>
  <si>
    <t>ULTSEN15</t>
  </si>
  <si>
    <t>94</t>
  </si>
  <si>
    <t>95</t>
  </si>
  <si>
    <t>96</t>
  </si>
  <si>
    <t>ESCHAT47</t>
  </si>
  <si>
    <t>ESCMAT47</t>
  </si>
  <si>
    <t>Puntos Dedicación 2</t>
  </si>
  <si>
    <t>80</t>
  </si>
  <si>
    <t>Código 
de 
órgano</t>
  </si>
  <si>
    <t>81</t>
  </si>
  <si>
    <t>Asuntos Pendientes de Sentenciar  (más 1 mes)</t>
  </si>
  <si>
    <t>82</t>
  </si>
  <si>
    <t>Informe individual juez</t>
  </si>
  <si>
    <t>Número de asuntos pendientes</t>
  </si>
  <si>
    <t xml:space="preserve">Módulo de dedicación </t>
  </si>
  <si>
    <t>Módulo de entrada</t>
  </si>
  <si>
    <t>Tiempo de respuesta</t>
  </si>
  <si>
    <t>Nombre:</t>
  </si>
  <si>
    <t>Datos del órgano judicial</t>
  </si>
  <si>
    <t>Datos del juez</t>
  </si>
  <si>
    <t>Modulo teorico de entrada magistrado</t>
  </si>
  <si>
    <t>83</t>
  </si>
  <si>
    <t>84</t>
  </si>
  <si>
    <t>85</t>
  </si>
  <si>
    <t>86</t>
  </si>
  <si>
    <t>Puntos  dedic. magistrado</t>
  </si>
  <si>
    <t>Modulo teorico de dedicic. magistrado</t>
  </si>
  <si>
    <t>Modulo teorico de dedicic. organo</t>
  </si>
  <si>
    <t>TCIVI215+NVL(EJTOT219,0)</t>
  </si>
  <si>
    <t>TCIVI515+NVL(EJTOT519,0)</t>
  </si>
  <si>
    <t>TCIVI615+NVL(EJTOT619,0)</t>
  </si>
  <si>
    <t>SENPEN26</t>
  </si>
  <si>
    <t>Pendencias Inicio</t>
  </si>
  <si>
    <t>Otra
comp.</t>
  </si>
  <si>
    <t>INGRESO COMPUTABLE (A+B)</t>
  </si>
  <si>
    <t>ESCHAT24+NVL(ESCHAT22,0)</t>
  </si>
  <si>
    <t>ESCMAT24+NVL(ESCMAT22,0)</t>
  </si>
  <si>
    <t>SENPEN25+NVL(SENPEN81,0)</t>
  </si>
  <si>
    <t>TCIVI215+NVL(EJECU247,0)+NVL(EJTOT219,0)</t>
  </si>
  <si>
    <t>TCIVI515+NVL(EJECU547,0)+NVL(EJTOT519,0)</t>
  </si>
  <si>
    <t>TCIVI615+NVL(EJECU647,0)+NVL(EJTOT619,0)</t>
  </si>
  <si>
    <t>ESCHAT15+NVL(ESCHAT47,0)+NVL(EPTOT319,0)</t>
  </si>
  <si>
    <t>ESCMAT15+NVL(ESCMAT47,0)+NVL(EPTOT419,0)</t>
  </si>
  <si>
    <t xml:space="preserve">Relación Módulo de entrada </t>
  </si>
  <si>
    <t>MODULO TEORICO DE ENTRADA DEL ÓRGANO</t>
  </si>
  <si>
    <t>Procedimeintos abreviados elevados</t>
  </si>
  <si>
    <t>TPRABT24</t>
  </si>
  <si>
    <t>87</t>
  </si>
  <si>
    <t>Registros</t>
  </si>
  <si>
    <t>88</t>
  </si>
  <si>
    <t>Número de trimestres</t>
  </si>
  <si>
    <t xml:space="preserve">Indicador de entrada </t>
  </si>
  <si>
    <t xml:space="preserve">Indicador de dedicación </t>
  </si>
  <si>
    <t>P</t>
  </si>
  <si>
    <t>TSEJU124</t>
  </si>
  <si>
    <t>Columna</t>
  </si>
  <si>
    <t>AMBITO TERRITORIAL</t>
  </si>
  <si>
    <t>Boletin</t>
  </si>
  <si>
    <t>Especialidad</t>
  </si>
  <si>
    <t>PJ</t>
  </si>
  <si>
    <t xml:space="preserve">Jdos. Familia                                   </t>
  </si>
  <si>
    <t xml:space="preserve">Jdos. 1ª Instª. e Instr.                        </t>
  </si>
  <si>
    <t xml:space="preserve">Jdos. Instrucción                               </t>
  </si>
  <si>
    <t>En Tramite 
Al Inicio 
Del Periodo (Regularizado)</t>
  </si>
  <si>
    <t>Asuntos reabiertos</t>
  </si>
  <si>
    <t>109</t>
  </si>
  <si>
    <t>INGRESO COMPUTABLE (Civil + Penal)</t>
  </si>
  <si>
    <t>TPROC324</t>
  </si>
  <si>
    <t>DEMPEN11+NVL(DEMPEN19,0)</t>
  </si>
  <si>
    <t>MONIE111+MONIT111+NVL(MONIT119,0)</t>
  </si>
  <si>
    <t>MONIE211+MONIT211+NVL(MONIT219,0)</t>
  </si>
  <si>
    <t>MONIE311+MONIT311+NVL(MONIT319,0)</t>
  </si>
  <si>
    <t>MONIE411+MONIT411+NVL(MONIT419,0)</t>
  </si>
  <si>
    <t>SENIJ115+NVL(SENIJ319,0)</t>
  </si>
  <si>
    <t>1175,1262,1088
1175,1262,1001
1175,1262,935
1175,1262,870</t>
  </si>
  <si>
    <t>1175,1088,1088
1175,1088,1001
1175,1088,935
1175,1088,870</t>
  </si>
  <si>
    <t>DEFINICIONES USADAS EN LOS INFORMES ESTADÍSTICOS</t>
  </si>
  <si>
    <r>
      <rPr>
        <b/>
        <sz val="10"/>
        <rFont val="Arial"/>
        <family val="2"/>
      </rPr>
      <t>Tasa de sentencia:</t>
    </r>
    <r>
      <rPr>
        <sz val="10"/>
        <rFont val="Arial"/>
        <family val="2"/>
      </rPr>
      <t xml:space="preserve"> Cociente entre el número de sentencias y el de asuntos resueltos, expresado en tanto por ciento. 
Indica el porcentaje de asuntos que se resuelven por sentencia.</t>
    </r>
  </si>
  <si>
    <r>
      <rPr>
        <b/>
        <sz val="10"/>
        <rFont val="Arial"/>
        <family val="2"/>
      </rPr>
      <t>Tasa de pendencia:</t>
    </r>
    <r>
      <rPr>
        <sz val="10"/>
        <rFont val="Arial"/>
        <family val="2"/>
      </rPr>
      <t xml:space="preserve"> Cociente entre los asuntos pendientes al final del periodo y los resueltos en ese periodo. 
Cuando el periodo sea distinto del año se ponderará el numero de asuntos resueltos para expresarlo en términos anuales. Si se multiplica por 12 indica el número de meses que se necesitaría, con el mismo ritmo resolutivo y sin ningún ingreso, para acabar con la pendencia. Su principal finalidad es permitir la comparación de la pendencia de órganos, territorios, o jurisdicciones, o de estos a lo largo del tiempo.
Un órgano, territorio o jurisdicción está en mejor situación cuanto menor sea su tasa de pendencia.</t>
    </r>
  </si>
  <si>
    <r>
      <rPr>
        <b/>
        <sz val="10"/>
        <rFont val="Arial"/>
        <family val="2"/>
      </rPr>
      <t>Tasa de resolución:</t>
    </r>
    <r>
      <rPr>
        <sz val="10"/>
        <rFont val="Arial"/>
        <family val="2"/>
      </rPr>
      <t xml:space="preserve"> Cociente entre los asuntos resueltos y los ingresados en un determinado periodo. 
Pone en relación el volumen de ingreso con la capacidad resolutiva.
Un órgano, territorio o jurisdicción está en mejor situación cuanto mayor sea su tasa de resolución. 
Si es mayor que uno indica que se esta resolviendo mas de lo que ingresa.</t>
    </r>
  </si>
  <si>
    <r>
      <rPr>
        <b/>
        <sz val="10"/>
        <rFont val="Arial"/>
        <family val="2"/>
      </rPr>
      <t>Tasa de congestión:</t>
    </r>
    <r>
      <rPr>
        <sz val="10"/>
        <rFont val="Arial"/>
        <family val="2"/>
      </rPr>
      <t xml:space="preserve"> Cociente donde el numerador esta formado por la suma de los asuntos pendientes al inicio del periodo 
y los registrados en ese periodo y donde el denominador son los asuntos resueltos en dicho periodo.
Un órgano, territorio o jurisdicción está en mejor situación cuanto menor sea su tasa de congestión.</t>
    </r>
  </si>
  <si>
    <t xml:space="preserve"> </t>
  </si>
  <si>
    <t>Sentencias Pendientes  (menos 3 meses) 
juez</t>
  </si>
  <si>
    <t>Sentencias Pendientes  (entre 3 y 6 meses)
juez</t>
  </si>
  <si>
    <t>SENPE126</t>
  </si>
  <si>
    <t>SENPE226</t>
  </si>
  <si>
    <t>SENPE326</t>
  </si>
  <si>
    <t>SENPE282</t>
  </si>
  <si>
    <t>SENPE382</t>
  </si>
  <si>
    <t>SENPE182</t>
  </si>
  <si>
    <t>SENPE286</t>
  </si>
  <si>
    <t>SENPE386</t>
  </si>
  <si>
    <t>SENPE186</t>
  </si>
  <si>
    <t>Autos Pendientes (menos de 3 meses) juez</t>
  </si>
  <si>
    <t>Autos Pendientes (entre 3 y 6 meses) juez</t>
  </si>
  <si>
    <t>Autos Pendientes (más de 6 meses) juez</t>
  </si>
  <si>
    <t>AUTPE114</t>
  </si>
  <si>
    <t>AUTPE214</t>
  </si>
  <si>
    <t>AUTPE314</t>
  </si>
  <si>
    <t>Sentencias Pendientes  (más 6 mes)
juez</t>
  </si>
  <si>
    <t>Sentencias Pendientes   (más 6 mes)
juez</t>
  </si>
  <si>
    <t>Autos Pendientes (total) juez</t>
  </si>
  <si>
    <t>AUTPE414</t>
  </si>
  <si>
    <t>111</t>
  </si>
  <si>
    <t>Autos Pendientes</t>
  </si>
  <si>
    <t>Total</t>
  </si>
  <si>
    <t>De menos de 3 meses</t>
  </si>
  <si>
    <t>De entre 3 y 6 meses</t>
  </si>
  <si>
    <t>De más de 6 meses</t>
  </si>
  <si>
    <t>Dedicación</t>
  </si>
  <si>
    <t>112</t>
  </si>
  <si>
    <t>113</t>
  </si>
  <si>
    <t>114</t>
  </si>
  <si>
    <t xml:space="preserve">Sentencias Pendientes  (menos 3 meses) 
</t>
  </si>
  <si>
    <t xml:space="preserve">Sentencias Pendientes  (entre 3 y 6 meses)
</t>
  </si>
  <si>
    <t xml:space="preserve">Sentencias Pendientes  (más 6 mes)
</t>
  </si>
  <si>
    <t>SENPE185</t>
  </si>
  <si>
    <t>SENPE285</t>
  </si>
  <si>
    <t>SENPE385</t>
  </si>
  <si>
    <t>SENPE125+NVL(SENPE181,0)</t>
  </si>
  <si>
    <t>SENPE225+NVL(SENPE281,0)</t>
  </si>
  <si>
    <t>SENPE325+NVL(SENPE381,0)</t>
  </si>
  <si>
    <t>SENPE181</t>
  </si>
  <si>
    <t>SENPE281</t>
  </si>
  <si>
    <t>EJFAL222+EJLEV222</t>
  </si>
  <si>
    <t>EJFAL522+EJFAL622+EJLEV522+EJLEV622</t>
  </si>
  <si>
    <t>EJFAL722+EJLEV722</t>
  </si>
  <si>
    <t>JFALT224+EJLEV224</t>
  </si>
  <si>
    <t>JFALT424+EJLEV424</t>
  </si>
  <si>
    <t>JFALT524+EJLEV524</t>
  </si>
  <si>
    <t>JFALT224+EJLEV224+NVL(EJFAL222,0)+NVL(EJLEV222,0)</t>
  </si>
  <si>
    <t>JFALT424+EJLEV424+NVL(EJFAL522,0)+NVL(EJFAL622,0)+NVL(EJLEV522,0)+NVL(EJLEV622,0)</t>
  </si>
  <si>
    <t>JFALT524+EJLEV524+NVL(EJFAL722,0)+NVL(EJLEV722,0)</t>
  </si>
  <si>
    <t xml:space="preserve"> Admisiones Sec. 1ª  </t>
  </si>
  <si>
    <t>115</t>
  </si>
  <si>
    <t>116</t>
  </si>
  <si>
    <t>Inadmisiones</t>
  </si>
  <si>
    <t xml:space="preserve">Inadmisiones </t>
  </si>
  <si>
    <t>12*(NVL(SUMAR424,0))+18*(NVL(PELEVT24,0))+3*1.05*(NVL(TPRAB224,0)+NVL(TPRAB424,0))+1.75*1.05*(NVL(SENTET25,0)+NVL(DELLE525,0)-NVL(MOJRA424,0)-NVL(MOLEV424,0))+(NVL(HABEA424,0))+2*(NVL(SENDET25,0)+NVL(SENDVD25,0))+2*(NVL(MOJRA424,0))+2*(NVL(MOLEV424,0))+2*(NVL(TORDP424,0)+NVL(TORDP324,0))+2*(NVL(VMOPRT24,0))+25*(CASE when (NVL(PCCONV92,-1)&gt;=0) THEN 1 ELSE 0 END)</t>
  </si>
  <si>
    <t>((CASE WHEN (SENTET25+DELLE525+SENDET25+SENDVD25)&gt;0 THEN (SENTET26+DELLE526+SENDET26+SENDVD26)/(SENTET25+DELLE525+SENDET25+SENDVD25) ELSE 0 END)*(12*(SUMAR424)+18*(PELEVT24)+3*1.05*(TPRAB224+TPRAB424)+1.75*1.05*(SENTET25+DELLE525-MOJRA424-MOLEV424)+(HABEA424)+25+2*(SENDET25+SENDVD25)+2*(MOJRA424+MOLEV424)+2*(TORDP424+TORDP324)+2*(VMOPRT24)))</t>
  </si>
  <si>
    <t>SUSPJ215+SUSPI215</t>
  </si>
  <si>
    <t>TPROC224+PIESE224</t>
  </si>
  <si>
    <t>TPROC424+PIESE324</t>
  </si>
  <si>
    <t>TPROC524+PIESE424</t>
  </si>
  <si>
    <t>TPROC224+TPROC324+PIESE224</t>
  </si>
  <si>
    <t>TPROC124+PIESE124</t>
  </si>
  <si>
    <t>TSEJU224+TSEJU424</t>
  </si>
  <si>
    <t>SENPT313+SENFT313+SENCOV13+SENCON13</t>
  </si>
  <si>
    <t>SENTET25+DELLE525+SENDET25+SENDVD25+SENPDE25+SENPDR25+SENDEC25</t>
  </si>
  <si>
    <t>SENPE113+SENCO113</t>
  </si>
  <si>
    <t>SENPE113+NVL(SENPE185,0)+NVL(SENPN192,0)+NVL(SENPC192,0)+NVL(SENPS192,0)+NVL(SENPM192,0)+SENCO113</t>
  </si>
  <si>
    <t>SENPE213+SENCO213</t>
  </si>
  <si>
    <t>SENPE213+NVL(SENPE285,0)+NVL(SENPN292,0)+NVL(SENPC292,0)+NVL(SENPS292,0)+NVL(SENPM292,0)+SENCO213</t>
  </si>
  <si>
    <t>SENPE313+SENCO313</t>
  </si>
  <si>
    <t>SENPE313+NVL(SENPE385,0)+NVL(SENPN392,0)+NVL(SENPC392,0)+NVL(SENPS392,0)+NVL(SENPM392,0)+SENCO313</t>
  </si>
  <si>
    <t>SENPEN13+SENCOT13</t>
  </si>
  <si>
    <t>SENPEN13+NVL(SENPNO92,0)+NVL(SENPNC92,0)+NVL(SENPNS92,0)+NVL(SENPEN25,0)+SENCOT13</t>
  </si>
  <si>
    <t>SENPEN13+NVL(SENPEN85,0)+NVL(SENPNO92,0)+NVL(SENPNC92,0)+NVL(SENPNS92,0)+NVL(SENPNM92,0)+SENCOT13</t>
  </si>
  <si>
    <t>SENPE114+SENCO114</t>
  </si>
  <si>
    <t>SENPE214+SENCO214</t>
  </si>
  <si>
    <t>SENPE314+SENCO314</t>
  </si>
  <si>
    <t>SENPEN14+SENCOT14</t>
  </si>
  <si>
    <t>AUTOST13+AUTFCT13</t>
  </si>
  <si>
    <t>SUSPJ215+NVL(SENIJ219,0)+SUSPI215+NVL(SENIJ419,0)</t>
  </si>
  <si>
    <t xml:space="preserve">TSEJU222+TSEJU422 </t>
  </si>
  <si>
    <t>SUSPJ247+SUSPJ147</t>
  </si>
  <si>
    <t>AUTPE182</t>
  </si>
  <si>
    <t>AUTPE282</t>
  </si>
  <si>
    <t>AUTPE382</t>
  </si>
  <si>
    <t>AUTPEN82</t>
  </si>
  <si>
    <t>SENPRT85</t>
  </si>
  <si>
    <t>SENTE381+SENDET81+SENLE381+ACEDEC81</t>
  </si>
  <si>
    <t>SENTET25+DELLE525+SENDET25+SENDVD25+NVL(SENTE381,0)+NVL(SENDET81,0)+NVL(SENLE381,0)+SENPDE25+SENPDR25+SENDEC25+NVL(ACEDEC81,0)</t>
  </si>
  <si>
    <t>TPROC124+NVL(TPROC122,0)+PIESE124</t>
  </si>
  <si>
    <t>(CASE WHEN (SENTET25+DELLE525+SENDET25+SENDVD25)&gt;0 THEN (SENTET26+DELLE526+SENDET26+SENDVD26)/(SENTET25+DELLE525+SENDET25+SENDVD25) ELSE 0 END)*(12*(SUMAR424)+18*(PELEVT24)+3*1.05*(TPRAB224+TPRAB424)+1.75*1.05*(SENTET25+DELLE525-MOJRA424-MOLEV424)+(HABEA424)+25+2*(SENDET25+SENDVD25)+2*(MOJRA424+MOLEV424)+2*(TORDP424+TORDP324)+2*(SENPDE25+SENPDR25)+2.5*SENDEC25+2*(VMOPRT24)-((MOJRA424+MOLEV424)*2)-((SENTET25+DELLE525-MOJRA424-MOLEV424)*1.75*1.05)-((SENDET25+SENDVD25)*2))+((SENTET26+DELLE526)*(CASE WHEN SENTET25+DELLE525=0 THEN 0 ELSE (MOJRA424+MOLEV424)/(SENTET25+DELLE525) END))*2+(((SENTET26+DELLE526)-((SENTET26+DELLE526)*(CASE WHEN SENTET25+DELLE525=0 THEN 0 ELSE (MOJRA424+MOLEV424)/(SENTET25+DELLE525) END)))*1.75)*1.05+(SENDET26+SENDVD26)*2</t>
  </si>
  <si>
    <t>EJFAL422+EJLEV422</t>
  </si>
  <si>
    <t>JFALT324+EJLEV324+NVL(EJFAL422,0)+NVL(EJLEV422,0)</t>
  </si>
  <si>
    <t>DILIP424+NVL(DILPR522,0)*5+PIESE324</t>
  </si>
  <si>
    <t>DILIP524+NVL(DILPR622,0)*5+PIESE424</t>
  </si>
  <si>
    <t>DILIP224+DILIP324+PIESE224</t>
  </si>
  <si>
    <t>12*(SUMAR424)+18*(PELEVT24)+3*1.05*(TPRAB224+TPRAB424)+1.75*1.05*(SENTET25+DELLE525-MOJRA424-MOLEV424)+(HABEA424)+25+2*(SENDET25+SENDVD25)+2*(MOJRA424+MOLEV424)+2*(TORDP424+TORDP324)+2*(VMOPRT24)+2*(SENPDE25+SENPDR25)+2.5*SENDEC25+12*(NVL(SUMAR522,0))+18*(NVL(JURAD522,0))+3*1.05*(NVL(TPRAB222,0)+NVL(TPRAB422,0))+1.75*1.05*(NVL(SENTE381,0)+NVL(SENLE381,0))+2*NVL(ACEDEC81,0)+2*(NVL(SENDET81,0))+(2-(1.75*1.05))*(NVL(JFALT422,0)+NVL(JDLEV422,0))*2+2*(NVL(TORDP322,0)+NVL(TORDP422,0)+NVL(TORDP522,0))+(CASE WHEN (NVL(DILUR522,0)-NVL(TORDP322,0)-NVL(TORDP422,0)-NVL(TORDP522,0))&gt;0 THEN (NVL(DILUR522,0)-NVL(TORDP322,0)-NVL(TORDP422,0)-NVL(TORDP522,0))*2.5 ELSE 0 END)</t>
  </si>
  <si>
    <t>DILUR222+DILUR322
DILUR222+DILUR322
DILUR222+DILUR322</t>
  </si>
  <si>
    <t>Asuntos Acumulados</t>
  </si>
  <si>
    <t>Pendencia  Ordinarios</t>
  </si>
  <si>
    <t>Pendencia  
Abreviados</t>
  </si>
  <si>
    <t>Pendencia Recursos Apelación</t>
  </si>
  <si>
    <t>Proc. Abreviados ptes. Exclusivamente de Vista</t>
  </si>
  <si>
    <t>Proc. Ordinarios ptes. Declarar Conclusos</t>
  </si>
  <si>
    <t>Asuntos Pendientes Exclusivamente de Señalar Votación y Fallo</t>
  </si>
  <si>
    <t>Asuntos Cuyo Plazo para Dictar Sentencia se Haya Diferido art. 67.2L RJCA</t>
  </si>
  <si>
    <t>Medidas de Refuerzo</t>
  </si>
  <si>
    <t>Nº TOTAL autos Pendientes</t>
  </si>
  <si>
    <t>Nª autos menos 3 m</t>
  </si>
  <si>
    <t xml:space="preserve">Nª autos entre 3 y 6m </t>
  </si>
  <si>
    <t>Nª autos más de 6m</t>
  </si>
  <si>
    <t>Nº TOTAL Sentencias dictadasen P. Abreviados</t>
  </si>
  <si>
    <t>Nº TOTAL Sentencias dictadas en p. Ordinarios</t>
  </si>
  <si>
    <t>117</t>
  </si>
  <si>
    <t>118</t>
  </si>
  <si>
    <t>119</t>
  </si>
  <si>
    <t>120</t>
  </si>
  <si>
    <t>121</t>
  </si>
  <si>
    <t>122</t>
  </si>
  <si>
    <t>123</t>
  </si>
  <si>
    <t>124</t>
  </si>
  <si>
    <t>125</t>
  </si>
  <si>
    <t>126</t>
  </si>
  <si>
    <t>127</t>
  </si>
  <si>
    <t>128</t>
  </si>
  <si>
    <t>129</t>
  </si>
  <si>
    <t>130</t>
  </si>
  <si>
    <t>131</t>
  </si>
  <si>
    <t>Número de Magistrados</t>
  </si>
  <si>
    <t>Asuntos Ingresados</t>
  </si>
  <si>
    <t>Asuntos Reabiertos</t>
  </si>
  <si>
    <t>% Ingreso Computable 2003</t>
  </si>
  <si>
    <t xml:space="preserve"> % S/Iindicador  De  Resolución (Horas punto)</t>
  </si>
  <si>
    <t>Resolución Asuntos</t>
  </si>
  <si>
    <t>Resolución Ejecuciones</t>
  </si>
  <si>
    <t>Pendencia  Asuntos</t>
  </si>
  <si>
    <t>Nº TOTAL Sentencias Dictadas en P. Abreviados</t>
  </si>
  <si>
    <t>Nº TOTAL Sentencias Dictadas en p. Ordinarios</t>
  </si>
  <si>
    <t>Nº TOTAL autos dictados</t>
  </si>
  <si>
    <t>Tiempo de Respuesta</t>
  </si>
  <si>
    <t>% Señalamientos Suspendidos</t>
  </si>
  <si>
    <t>Variación de Pendientes
Asuntos</t>
  </si>
  <si>
    <t>Variación de Pendientes 
Ejecutorias</t>
  </si>
  <si>
    <t>Fecha Señalamiento más alejada en el Tiempo</t>
  </si>
  <si>
    <t>Resolución
Nº H/P</t>
  </si>
  <si>
    <t xml:space="preserve"> % S/Iindicador  de Resolución (Horas punto)</t>
  </si>
  <si>
    <t>Pendencia Ordinarios</t>
  </si>
  <si>
    <t>Pendencia Abreviados</t>
  </si>
  <si>
    <t>Nº TOTAL Autos Pendientes</t>
  </si>
  <si>
    <t>Nº TOTAL Sentencias Dictadas</t>
  </si>
  <si>
    <t>Nº TOTAL Autos Dictados</t>
  </si>
  <si>
    <t>Escritos Pendientes hasta 30 Días</t>
  </si>
  <si>
    <t>Escritos Pendientes mas de 30 Días</t>
  </si>
  <si>
    <t>Fecha Señalamiento más Alejada en el Tiempo</t>
  </si>
  <si>
    <t>Número de asuntos señalados</t>
  </si>
  <si>
    <t>Ejecuciones ingresadas</t>
  </si>
  <si>
    <t>Número diligencias previas ingresadas</t>
  </si>
  <si>
    <t>Número dtos leves ingresados</t>
  </si>
  <si>
    <t>Ingreso computable Proc. Abrev.</t>
  </si>
  <si>
    <t>Ingreso Computable 2003</t>
  </si>
  <si>
    <t>Asuntos Pendientes de instrucción compleja</t>
  </si>
  <si>
    <t>Ejecutorias pendientes de Incoar</t>
  </si>
  <si>
    <t>Ingreso Computable  2003</t>
  </si>
  <si>
    <t>Resolución asuntos</t>
  </si>
  <si>
    <t>Variación de Pendientes
asuntos</t>
  </si>
  <si>
    <t>Variación de Pendientes 
ejecutorias</t>
  </si>
  <si>
    <t>=Datos!AO9</t>
  </si>
  <si>
    <t>Procedimientos abreviados elevados</t>
  </si>
  <si>
    <t>132</t>
  </si>
  <si>
    <t>133</t>
  </si>
  <si>
    <t>134</t>
  </si>
  <si>
    <t>135</t>
  </si>
  <si>
    <t>136</t>
  </si>
  <si>
    <t>137</t>
  </si>
  <si>
    <t>138</t>
  </si>
  <si>
    <t>139</t>
  </si>
  <si>
    <t>140</t>
  </si>
  <si>
    <t>PKTMAG26</t>
  </si>
  <si>
    <t>PKTMAG86</t>
  </si>
  <si>
    <t>Nª autos entre 3 y 6 m</t>
  </si>
  <si>
    <t>Nª autos más de 6 m</t>
  </si>
  <si>
    <t>RESOLUCION Nº  H/P</t>
  </si>
  <si>
    <t>Ejecutorias reiniciadas</t>
  </si>
  <si>
    <t xml:space="preserve">Resolución ejecutorias </t>
  </si>
  <si>
    <t>DILPR222+DILPR322</t>
  </si>
  <si>
    <t>DELLE224+JUICI224</t>
  </si>
  <si>
    <t>INCOM424</t>
  </si>
  <si>
    <t>DILUR222+DILUR322</t>
  </si>
  <si>
    <t>Número dtos leves ingresados
Número dtos urgentes ingresados</t>
  </si>
  <si>
    <t>COMPL422</t>
  </si>
  <si>
    <t>FTEPA122</t>
  </si>
  <si>
    <t>Modulo Ingreso Computable D. Previas  2003</t>
  </si>
  <si>
    <t>Modulo Ingreso Computable Dtos leves  2003
-Modulo Ingreso Computable D. Urgentes  2003</t>
  </si>
  <si>
    <t>Modulo ingreso computable 2013 Pas</t>
  </si>
  <si>
    <t>Modulo ingreso computable 2013 Ejecutorias</t>
  </si>
  <si>
    <t>Modulo Ingreso Computable Dtos leves  2003</t>
  </si>
  <si>
    <t>Informe Rendimiento Jueces</t>
  </si>
  <si>
    <t>DNI</t>
  </si>
  <si>
    <t>NOMBRE Y APELLIDOS</t>
  </si>
  <si>
    <t>Trimestres</t>
  </si>
  <si>
    <t>Relación Módulo de dedicación  
Total</t>
  </si>
  <si>
    <t>Relación Módulo de dedicación  
Resto</t>
  </si>
  <si>
    <t>Relación Módulo de dedicación  
Refuerzo</t>
  </si>
  <si>
    <t>Órganos Unipersonales</t>
  </si>
  <si>
    <t>Órganos Colegiados</t>
  </si>
  <si>
    <t>TI</t>
  </si>
  <si>
    <t>Magistrado/Juez titular del órgano. Actuación ordinaria</t>
  </si>
  <si>
    <t>Magistrado titular del órgano. Actuación ordinaria</t>
  </si>
  <si>
    <t>T2</t>
  </si>
  <si>
    <t>Magistrado/Juez titular del órgano. Actuando como auto refuerzo</t>
  </si>
  <si>
    <t>Magistrado titular del órgano. Actuando como auto refuerzo</t>
  </si>
  <si>
    <t>SU</t>
  </si>
  <si>
    <t>Titulares de otros órganos. En funciones de sustitución del titular</t>
  </si>
  <si>
    <t>SP</t>
  </si>
  <si>
    <t>S2</t>
  </si>
  <si>
    <t>Titulares de otros órganos. En funciones de refuerzo</t>
  </si>
  <si>
    <t>P2</t>
  </si>
  <si>
    <t>AD</t>
  </si>
  <si>
    <t>Jueces de adscripción territorial. En funciones de sustitución del titular</t>
  </si>
  <si>
    <t>A2</t>
  </si>
  <si>
    <t>Jueces de adscripción territorial. En funciones de refuerzo</t>
  </si>
  <si>
    <t>OT</t>
  </si>
  <si>
    <t>Otros magistrados. Por nulidad de sentencia</t>
  </si>
  <si>
    <t>O3</t>
  </si>
  <si>
    <t>Otros magistrados. Comisión de servicio con relevación de funciones</t>
  </si>
  <si>
    <t>Otros magistrados o jueces. Por nulidad de sentencia</t>
  </si>
  <si>
    <t>O4</t>
  </si>
  <si>
    <t>Otros magistrados. Por otras circunstancias</t>
  </si>
  <si>
    <t>O2</t>
  </si>
  <si>
    <t xml:space="preserve">Otros magistrados o jueces. Prórroga de jurisdicción </t>
  </si>
  <si>
    <t xml:space="preserve">Otros magistrados o jueces. Comisión de servicio con relevación de funciones </t>
  </si>
  <si>
    <t>Otros magistrados o jueces. Por otras circunstancias</t>
  </si>
  <si>
    <t>Ingreso computable Internamientos</t>
  </si>
  <si>
    <t>Ingreso computable J. Voluntaria</t>
  </si>
  <si>
    <t>Jurisdicción voluntaria ingresada</t>
  </si>
  <si>
    <t>Monitorios ingresados</t>
  </si>
  <si>
    <t>Resolución Monitorios</t>
  </si>
  <si>
    <t>Pendencia jurisdicción voluntaria</t>
  </si>
  <si>
    <t>Asuntos resueltos sujetos a seguimiento y control</t>
  </si>
  <si>
    <t>141</t>
  </si>
  <si>
    <t>AUTPE413</t>
  </si>
  <si>
    <t>AUTPE113</t>
  </si>
  <si>
    <t>AUTPE213</t>
  </si>
  <si>
    <t>AUTPE313</t>
  </si>
  <si>
    <t>% Ingreso Computable diligencias previas  2003</t>
  </si>
  <si>
    <t>PKTMAG14</t>
  </si>
  <si>
    <t>% Ingreso Computable Dtos leves  2003</t>
  </si>
  <si>
    <t>Ejecutorias Ingresadas</t>
  </si>
  <si>
    <t>Pendencia Asuntos</t>
  </si>
  <si>
    <t>Nª sentencias entre 3 y 6 m</t>
  </si>
  <si>
    <t>Nª Sentencias más de 6 m</t>
  </si>
  <si>
    <t xml:space="preserve"> Asuntos ingresados 2</t>
  </si>
  <si>
    <t>Número delitos leves ingresados</t>
  </si>
  <si>
    <t>Pendencia  Ejecuciones</t>
  </si>
  <si>
    <t>Concursos</t>
  </si>
  <si>
    <t>Presentados</t>
  </si>
  <si>
    <t>142</t>
  </si>
  <si>
    <t>143</t>
  </si>
  <si>
    <t>144</t>
  </si>
  <si>
    <t>ORGANO</t>
  </si>
  <si>
    <t>TIPO DE 
ORGANO</t>
  </si>
  <si>
    <t>Asuntos Civiles Ingresados</t>
  </si>
  <si>
    <t>Asuntos Penales Ingresados</t>
  </si>
  <si>
    <t>Ejecutorias Penales Ingresadas</t>
  </si>
  <si>
    <t>Ingreso Penal Computable 2003</t>
  </si>
  <si>
    <t>Asuntos Civiles Reabiertos</t>
  </si>
  <si>
    <t>Asuntos Penales Reabiertos</t>
  </si>
  <si>
    <t>Ejecutorias Civiles Ingresadas</t>
  </si>
  <si>
    <t>% Ingreso Penal Computable 2003</t>
  </si>
  <si>
    <t>Resolución Asuntos Civiles</t>
  </si>
  <si>
    <t>Resolución Asuntos Penales</t>
  </si>
  <si>
    <t>Resolución Ejecuciones Civiles</t>
  </si>
  <si>
    <t>Resolución Ejecuciones Penales</t>
  </si>
  <si>
    <t>Pendencia Asuntos Civiles</t>
  </si>
  <si>
    <t>Pendencia Asuntos Penales</t>
  </si>
  <si>
    <t>Pendencia  Ejecuciones Civiles</t>
  </si>
  <si>
    <t>Pendencia  Ejecuciones Penales</t>
  </si>
  <si>
    <t>Tiempo de Respuesta Civil</t>
  </si>
  <si>
    <t>Tiempo de Respuesta Penal</t>
  </si>
  <si>
    <t>% Señalamientos Civiles Suspendidos</t>
  </si>
  <si>
    <t>% Señalamientos Penales Suspendidos</t>
  </si>
  <si>
    <t>Variación de Pendientes Asuntos Civiles</t>
  </si>
  <si>
    <t>Variación de Pendientes Asuntos Penales</t>
  </si>
  <si>
    <t>Variación de Pendientes Ejecutorias Civiles</t>
  </si>
  <si>
    <t>Variación de Pendientes Ejecutorias Penales</t>
  </si>
  <si>
    <t>Fecha Señalamiento Civil más alejada en el Tiempo</t>
  </si>
  <si>
    <t>Fecha Señalamiento Penal más alejada en el Tiempo</t>
  </si>
  <si>
    <t>Número diligencias urgentes ingresadas</t>
  </si>
  <si>
    <t>% Ingreso Computable diligencias urgentes  2003</t>
  </si>
  <si>
    <t>AUTPE185</t>
  </si>
  <si>
    <t>AUTPE285</t>
  </si>
  <si>
    <t>AUTPE385</t>
  </si>
  <si>
    <t>AUTPEN85</t>
  </si>
  <si>
    <t>A Asuntos computables ingresados Civiles</t>
  </si>
  <si>
    <t>A Asuntos computables ingresados Penales</t>
  </si>
  <si>
    <t>En Tramite 
Al Inicio 
Del Periodo (Regularizado) Penal</t>
  </si>
  <si>
    <t>Agrupada:</t>
  </si>
  <si>
    <t>12*(SUMAR522)+18*(JURAD522)+3*1.05*(TPRAB222+TPRAB422)+1.75*1.05*(SENTE381+SENLE381)+2*(ACEDEC81)+(2-(1.75*1.05))*(JFALT422+JDLEV422)+2*(TORDP322+TORDP422+TORDP522)+SENDET81*2</t>
  </si>
  <si>
    <t>GREATEST(DILUR522-(TORDP322+TORDP422+TORDP522)*2.5,0)</t>
  </si>
  <si>
    <t>S3</t>
  </si>
  <si>
    <t xml:space="preserve">En comisión de servicio sin relevación de funciones o cualquier otra sustitución retribuida </t>
  </si>
  <si>
    <t>CCAA</t>
  </si>
  <si>
    <t>Pendencia
Concursos</t>
  </si>
  <si>
    <t>JUICI224+JUICI324+DELLE224+DELLE324</t>
  </si>
  <si>
    <t>JUICI424+DELLE424</t>
  </si>
  <si>
    <t>JUICI524+DELLE524</t>
  </si>
  <si>
    <t>((CASE WHEN SENTE381+SENLE381+SENDET81+ACEDEC81&gt;0 THEN (SENTE386+SENLE386+SENDET86+ACEDEC86)/(SENTE381+SENLE381+SENDET81+ACEDEC81) ELSE 0 END)*(SUMAR522*12+JURAD522*18+(TPRAB222+TPRAB422)*3*1.05+(TORDP322+TORDP422+TORDP522)*2+ (CASE WHEN DILUR522-(TORDP322+TORDP422+TORDP522)&gt;0 THEN ((DILUR522-(TORDP322+TORDP422+TORDP522))*2.5) ELSE 0 END)))+2*ACEDEC86+2*SENDET86+2*(CASE WHEN (SENTE381)&gt;0 THEN (SENTE386*JFALT422/SENTE381) ELSE 0 END)+2*(CASE WHEN (SENLE381)&gt;0 THEN (SENLE386*JDLEV422/SENLE381) ELSE 0 END)+1.75*1.05*(CASE WHEN (SENTE381)&gt;0 THEN (SENTE386-SENTE386*JFALT422/SENTE381) ELSE 0 END )+1.75*1.05*(CASE WHEN (SENLE381)&gt;0 THEN (SENLE386-SENLE386*JDLEV422/SENLE381) ELSE 0 END )</t>
  </si>
  <si>
    <t>GREATEST((DILUR522-(TORDP322+TORDP422+TORDP522))*2.5,0)</t>
  </si>
  <si>
    <t>DILIP224+NVL(DILPR222,0)*5+NVL(DILPR322,0)*5</t>
  </si>
  <si>
    <t>COMPETENCIAS</t>
  </si>
  <si>
    <t>MODULO DE ENTRADA 2018</t>
  </si>
  <si>
    <t>145</t>
  </si>
  <si>
    <t>MODULO DE RESOLUCION 2018</t>
  </si>
  <si>
    <t>MODULO DE PENDENCIA 2018</t>
  </si>
  <si>
    <t>Módulo Pendencia 
2018</t>
  </si>
  <si>
    <t>Módulo 
Entrada 2018</t>
  </si>
  <si>
    <t>146</t>
  </si>
  <si>
    <t>147</t>
  </si>
  <si>
    <t>MODULO TEÓRICO ENTRADA 2018</t>
  </si>
  <si>
    <t>Módulo entrada 2018</t>
  </si>
  <si>
    <t>%
Módulo entrada 2018</t>
  </si>
  <si>
    <t>MODULO DE TEORICO DE ENTRADA 2018</t>
  </si>
  <si>
    <t>148</t>
  </si>
  <si>
    <t>Pendencia  Concursos año anterior</t>
  </si>
  <si>
    <t>149</t>
  </si>
  <si>
    <t xml:space="preserve">
PCTOT247+(-PCCON247)+(-PCSAC247)+(-PCMOD247)+(-PCGUA247)+PCRUC247
</t>
  </si>
  <si>
    <t xml:space="preserve">
PCTOT547+(-PCCON547)+(-PCSAC547)+(-PCMOD547)+(-PCGUA547)+PCRUC547
</t>
  </si>
  <si>
    <t xml:space="preserve">
PCTOT647+(-PCCON647)+(-PCSAC647)+(-PCMOD647)+(-PCGUA647)+PCRUC647
</t>
  </si>
  <si>
    <t>12*(SUMAR424)+18*(PELEVT24)+3*1.05*(TPRAB224+TPRAB424)+1.75*1.05*(SENTET25+DELLE525-MOJRA424-MOLEV424)+(HABEA424)+25+2*(SENDET25+SENDVD25)+2*(MOJRA424+MOLEV424)+2*(TORDP424+TORDP324)+2*(VMOPRT24)+2*(SENPDE25+SENPDR25)+2.5*SENDEC25+12*(NVL(SUMAR522,0))+18*(NVL(JURAD522,0))+3*1.05*(NVL(TPRAB222,0)+NVL(TPRAB422,0))+1.75*1.05*(NVL(SENTE381,0)+NVL(SENLE381,0))+2*NVL(ACEDEC81,0)+2*(NVL(SENDET81,0))+(2-(1.75*1.05))*(NVL(JFALT422,0)+NVL(JDLEV422,0))*2+2*(NVL(TORDP322,0)+NVL(TORDP422,0)+NVL(TORDP522,0))+(CASE WHEN (NVL(DILUR522,0)-NVL(TORDP322,0)-NVL(TORDP422,0)-NVL(TORDP522,0))&gt;0 THEN (NVL(DILUR522,0)-NVL(TORDP322,0)-NVL(TORDP422,0)-NVL(TORDP522,0))*2.5 ELSE 0 END)+(NVL(PCNUL547,0))*6+(NVL(PCCON547,0)+NVL(PCSAC547,0))* 0.5+(NVL(PCNCO547,0)+NVL(PCSCO547,0))*3.25+(NVL(PCEFI547,0))+NVL(MEDTO347,0)+(NVL(PCGUA547,0))*0.5+(NVL(PCGNC547,0))*3.25+(NVL(PCMOD547,0))*0.5+(NVL(PCMOC547,0))*3.25+(NVL(PCLIQ547,0))*4.25+(NVL(PCJVE547,0))*2.5+(NVL(INCDE347,0)+NVL(INCEJ347,0)+NVL(ILOPJ347,0))*1.5+NVL(PCOTR547,0)+2.5*(NVL(PCSUS547,0))+0.5*(NVL(PCRUC547,0))+3.25*(NVL(PCRUN547,0))</t>
  </si>
  <si>
    <t>Ingreso Computable 2018 (Civil + Penal)</t>
  </si>
  <si>
    <t>% Ingreso Computable 2018 (Civil + Penal)</t>
  </si>
  <si>
    <t>3300
3000</t>
  </si>
  <si>
    <t>PCTOT247</t>
  </si>
  <si>
    <t>PCTOT447+PCTOT547</t>
  </si>
  <si>
    <t>PCTOT647</t>
  </si>
  <si>
    <t>Ingreso computable módulo 2018</t>
  </si>
  <si>
    <t>%
Ingreso computable módulo 2018</t>
  </si>
  <si>
    <t>Modulo teórico 2018</t>
  </si>
  <si>
    <t>TPROC224+PIESE224+ASUEX224+NVL(TPROC222,0)+NVL(TPROC322,0)+NVL(TPROC422,0)+NVL(TORDP222,0)</t>
  </si>
  <si>
    <t>TPROC222+TPROC322+TPROC422</t>
  </si>
  <si>
    <t>TPROC224+TPROC324+NVL(TPROC222,0)+NVL(TPROC322,0)+NVL(TPROC422,0)+NVL(TCONT211,0)+NVL(TCON2211,0)+NVL(TDERE218,0)+NVL(TDERE318,0)+NVL(MOVCO211,0)+NVL(MOVCO311,0)+NVL(MOVCO411,0)+NVL(INCID211,0)+NVL(MECAU211,0)+PIESE224</t>
  </si>
  <si>
    <t>TPROC224+PIESE224+NVL(TPROC222,0)*2+NVL(TPROC322,0)*2+NVL(TPROC422,0)*2+(NVL(TCONT211,0)+NVL(MEDTO218,0)+NVL(SOLRE215,0)+NVL(TCON2211,0)+NVL(TVOLU215,0)+NVL(INCID211,0)+NVL(MECAU211,0)+NVL(MOVCO211,0)+NVL(INTEV215,0)*0.16+NVL(TDERE218,0)*0.8)*14.83</t>
  </si>
  <si>
    <t>TPROC224+NVL(TPROC222,0)+NVL(TPROC322,0)+NVL(TPROC422,0)+NVL(TCONT211,0)+NVL(TCON2211,0)+NVL(TVOLU215,0)+NVL(INCID211,0)+NVL(MECAU211,0)+NVL(MOVCO211,0)+NVL(MEDTO218,0)+NVL(SOLRE215,0)</t>
  </si>
  <si>
    <t>TPROC224+TPROC324+NVL(TPROC222,0)+NVL(TPROC322,0)+NVL(TPROC422,0)+PIESE224</t>
  </si>
  <si>
    <t>TPROC224+NVL(TPROC222,0)+NVL(TPROC322,0)+NVL(TPROC422,0)+NVL(DILPR222,0)*4+NVL(DILPR322,0)*4+PIESE224</t>
  </si>
  <si>
    <t>TPROC224+PIESE224+NVL(TPROC222,0)*2+NVL(TPROC322,0)*2+NVL(TPROC422,0)*2</t>
  </si>
  <si>
    <t>TPROC224+NVL(TPROC222,0)+NVL(TPROC322,0)+NVL(TPROC422,0)</t>
  </si>
  <si>
    <t>TPROC224+PIESE224+ASUEX224+NVL(TPROC222,0)+NVL(TPROC322,0)+NVL(TPROC422,0)</t>
  </si>
  <si>
    <t>TPROC424+NVL(TPROC622,0)+NVL(TCON1311,0)+NVL(TCON2311,0)+NVL(TDERE418,0)+NVL(TDERE518,0)+NVL(MOVCO511,0)+NVL(MOVCO611,0)+NVL(MOVCO711,0)+NVL(INCID311,0)+NVL(MECAU311,0)+PIESE324</t>
  </si>
  <si>
    <t>TPROC424+NVL(TPROC622,0)+PIESE324</t>
  </si>
  <si>
    <t>TPROC424+NVL(TPROC622,0)+NVL(DILPR522,0)*4+PIESE324</t>
  </si>
  <si>
    <t>TPROC424+PIESE324+ASUEX324+NVL(TPROC622,0)</t>
  </si>
  <si>
    <t>TPROC722</t>
  </si>
  <si>
    <t>TPROC524+NVL(TPROC722,0)+NVL(TCON1411,0)+NVL(TCON2411,0)+NVL(TDERE618,0)+NVL(MOVCO811,0)+NVL(INCID411,0)+NVL(MECAU411,0)+NVL(MEDTO418,0)+NVL(INCTO418,0)+PIESE424</t>
  </si>
  <si>
    <t>TPROC524+NVL(TPROC722,0)+PIESE424</t>
  </si>
  <si>
    <t>TPROC524+NVL(TPROC722,0)+NVL(DILPR622,0)*4+PIESE424</t>
  </si>
  <si>
    <t>TPROC524+PIESE424+ASUEX424+NVL(TPROC722,0)</t>
  </si>
  <si>
    <t>TPROC222+TPROC322+TPROC422
TPROC222+TPROC322+TPROC422
TPROC222+TPROC322+TPROC422</t>
  </si>
  <si>
    <t xml:space="preserve">
PCTOT247+MEDTO247+INCTO247
</t>
  </si>
  <si>
    <t xml:space="preserve">%
Módulo 
Entrada 2018
</t>
  </si>
  <si>
    <t>MOVCO811</t>
  </si>
  <si>
    <t>MOVCO211</t>
  </si>
  <si>
    <t xml:space="preserve">MOVCO711 </t>
  </si>
  <si>
    <t>Resolución
Concursos</t>
  </si>
  <si>
    <t>TCONT211+TCON2211+MOVCO211+INCID211+MECAU211+TDERE218+MEDTO218+ INCTO218+EJEHI211+EJEHI311+OTRNJ211+OTRNJ311+(-DIVOC218)+(-SEPAM218)+(-MECON218)+(-GUCON218)+PROMO218+PROES218+SOLRE215</t>
  </si>
  <si>
    <t>TCONT211+TCON2211+MOVCO211+INCID211+MECAU211+TDERE218+TDERE318+PROMO218+PROES218+MEDTO218+INCTO218+AUTME215+SOLRE215</t>
  </si>
  <si>
    <t>TDERE218+MEDTO218+INCTO218+PROMO218+PROES218+SOLRE215</t>
  </si>
  <si>
    <t>TCONT211+TCON2211+MOVCO211+INCID211+MECAU211+TDERE218+MEDTO218+INCTO218+EJEHI211+EJEHI311+OTRNJ211+OTRNJ311+(-DIVOC218)+(-SEPAM218)+(-MECON218)+(-GUCON218)+PROMO218+PROES218+SOLRE215</t>
  </si>
  <si>
    <t>TPROC224+PIESE224+ASUEX224+(NVL(TPROC222,0)+NVL(TPROC322,0)+NVL(TPROC422,0)+NVL(TORDP222,0)+NVL(PCTOT247,0)+NVL(MEDTO247,0)+NVL(INCTO247,0))+(NVL(TCON2211,0)+NVL(MOVCO211,0)*1.5+NVL(INCID211,0)+NVL(MECAU211,0)+NVL(TVOLU215,0)+(NVL(TDERE218,0)+NVL(MEDTO218,0)+NVL(INCTO218,0))+NVL(INTEV215,0)+NVL(AUTME215,0)+NVL(PROMO218,0)+NVL(PROES218,0)+NVL(SOLRE215,0)+NVL(TCIVI215,0))*2.75</t>
  </si>
  <si>
    <t>TDERE218+MEDTO218+INCTO218+PROMO218+PROES218+SOLRE215+INTEV215*0.2+AUTMC215*0.2+AUTMP215+TCON2211+INCID211+MECAU211</t>
  </si>
  <si>
    <t>TPROC224+PIESE224+ASUEX224+(NVL(TPROC222,0)+NVL(TPROC322,0)+NVL(TPROC422,0)+NVL(PCTOT247,0))+(NVL(TCON2211,0)+NVL(MOVCO211,0)*1.5+NVL(INCID211,0)+NVL(MECAU211,0)+NVL(TVOLU215,0)+(NVL(TDERE218,0)+NVL(MEDTO218,0)+NVL(INCTO218,0))+NVL(INTEV215,0)+NVL(AUTME215,0)+NVL(PROMO218,0)+NVL(PROES218,0)+NVL(SOLRE215,0)+NVL(TCIVI215,0))*2.75</t>
  </si>
  <si>
    <t>TCON1111+MOVCO111+INCID111+MECAU111+TCON2111+TDERE118+PROMO118+PROES118+MEDTO118+INCTO118+AUTME115+SOLRE115</t>
  </si>
  <si>
    <t>TPROC424+PIESE324+ASUEX324+(NVL(TPROC622,0)+NVL(PCTOT347,0))+(NVL(TCON2311,0)+NVL(MOVCO711,0)*1.5+NVL(INCID311,0)+NVL(MECAU311,0)+NVL(TVOLU315,0)+(NVL(TDERE418,0)+NVL(MEDTO318,0)+NVL(INCTO318,0))+NVL(INTEV315,0)+NVL(AUTME315,0)+NVL(PROMO318,0)+NVL(PROES318,0)+NVL(SOLRE315,0)+NVL(TCIVI515,0))*2.75</t>
  </si>
  <si>
    <t>TCON1311+TCON2311+MOVCO511+MOVCO611+MOVCO711+INCID311+MECAU311+TDERE518-RUPTC518+MEDTO318+INCTO318+EJEHI511+EJEHI411+OTRNJ511+OTRNJ411+(-DIVOC518)+(-SEPAM518)+(-MECON518)+(-GUCON518)+INTEV315*0.2+AUTMC315*0.2+AUTMP315+NVL(CONCU519,0)*2+NVL(CONCU619,0)*2+NVL(CONCU719,0)*2+NVL(ICTOT319,0)*2+NVL(EXPAR319,0)*2+NVL(PCTOT419,0)*2+NVL(DILTO319,0)*2+NVL(MEDCA319,0)*2+PROMO318+PROES318+SOLRE315</t>
  </si>
  <si>
    <t>TDERE518+MEDTO318+INCTO318+PROMO318+PROES318+SOLRE315+INTEV315+AUTMC315+AUTMP315+TCON2311+INCID311+MECAU311</t>
  </si>
  <si>
    <t>TCON1411+TCON2411+TDERE618+PROMO418+PROES418+MOVCO811+INCID411+MECAU411+MEDTO418+INCTO418+SOLRE415+AUTME415</t>
  </si>
  <si>
    <t>TCON1411+TCON2411+MOVCO811+INCID411+MECAU411+TDERE618-RUPTC618+MEDTO418+INCTO418+EJEHI611+OTRNJ611+(-DIVOC618)+(-SEPAM618)+(-MECON618)+(-GUCON618)+NVL(CONCU819,0)*2+INTEV415*0.2+AUTMC415*0.2+AUTMP415+NVL(ICTOT419,0)*2+NVL(EXPAR419,0)*2+NVL(PCTOT519,0)*2+NVL(DILTO419,0)*2+NVL(MEDCA419,0)*2+PROMO418+PROES418+SOLRE415</t>
  </si>
  <si>
    <t>TDERE618+PROMO418+PROES418+MEDTO418+INCTO418+INTEV415+AUTMC415+AUTMP415+SOLRE415+TCON2411+INCID411+MECAU411</t>
  </si>
  <si>
    <t>TPROC524+PIESE424+ASUEX424+(NVL(TPROC722,0)+NVL(PCTOT447,0))+(NVL(TCON2411,0)+NVL(MOVCO811,0)*1.5+NVL(INCID411,0)+NVL(MECAU411,0)+NVL(TVOLU415,0)+(NVL(TDERE418,0)+NVL(MEDTO418,0)+NVL(INCTO418,0))+NVL(INTEV415,0)+NVL(AUTME415,0)+NVL(PROMO418,0)+NVL(PROES418,0)+NVL(SOLRE415,0)+NVL(TCIVI615,0))*2.75</t>
  </si>
  <si>
    <t>Permisos y licencias individual juez</t>
  </si>
  <si>
    <t>Concepto</t>
  </si>
  <si>
    <t>Fecha Inicio</t>
  </si>
  <si>
    <t>Fecha Fin</t>
  </si>
  <si>
    <t>Número días PyL</t>
  </si>
  <si>
    <t>Número días Periodo</t>
  </si>
  <si>
    <t>150</t>
  </si>
  <si>
    <t>151</t>
  </si>
  <si>
    <t>Estado</t>
  </si>
  <si>
    <t>Umbral dedicación</t>
  </si>
  <si>
    <t>TPROC222+TPROC322+TPROC422+TPROC522</t>
  </si>
  <si>
    <t xml:space="preserve">Relación Módulo de dedicación (sin tener en cuenta ni permisos ni licencias) </t>
  </si>
  <si>
    <t>Nº dias permisos o licencias en Gestión Gubernativa</t>
  </si>
  <si>
    <t>Nº dias permisos o licencias corregido</t>
  </si>
  <si>
    <t>Relación Módulo de dedicación corregido con permisos y licencias</t>
  </si>
  <si>
    <t>152</t>
  </si>
  <si>
    <t>DEMREP24</t>
  </si>
  <si>
    <t>DEMREP11</t>
  </si>
  <si>
    <t>DEMREP11+NVL(DEMREP19,0)</t>
  </si>
  <si>
    <t>DEMREP22</t>
  </si>
  <si>
    <t>DEMREP47</t>
  </si>
  <si>
    <t>Asuntos Repartidos  Pendientes de Aceptar</t>
  </si>
  <si>
    <t>Asuntos Repartidos Pendientes de Aceptar</t>
  </si>
  <si>
    <t>153</t>
  </si>
  <si>
    <t>Ejecutorias Repartidass pendientes de Aceptar</t>
  </si>
  <si>
    <t>Asuntos Aceptados Pendientes de Incoar</t>
  </si>
  <si>
    <t>Expedientes Repartidos  Pendientes de Aceptar</t>
  </si>
  <si>
    <t>Ejecutorias Repartidas pendientes de Aceptar</t>
  </si>
  <si>
    <t>De menos de 3 meses (Instrucción y JVM Penal Menos de 1 mes)</t>
  </si>
  <si>
    <t>De entre 3 y 6 meses (Instrucción y JVM Penal Entre 1 y 3 meses)</t>
  </si>
  <si>
    <t>De más de 6 meses (Instrucción y JVM Penal Más de 3 meses)</t>
  </si>
  <si>
    <t xml:space="preserve">De entre 3 y 6 meses </t>
  </si>
  <si>
    <t xml:space="preserve">De más de 6 meses </t>
  </si>
  <si>
    <t>TCON1311+TCON2311+MOVCO511+MOVCO611+MOVCO711+INCID311+MECAU311+TDERE418+TDERE518+PROMO318+PROMB318-PROMB218+PROES318+MEDTO318+INCTO318+SOLRE315+AUTME315</t>
  </si>
  <si>
    <t>(CASE WHEN SENFT313&gt;0 THEN SENFT314/SENFT313 ELSE 0 END)*(6*(NULID518)+0.5*(DIVOC518+SEPAM518)+3.25*(DIVON518+SEPAC518)+EFICA518+0.5*(GUCON518)+3.25*(GUNOC518)+0.5*(MECON518)+3.25*(MENOC518)+4.5*(JUORD518)+4.25*(LIREG518)+2.5*(JUVER518+PROMO318-PROCO518-PRONO518+PROES318)+OTRAP518+2.5*SUSTR518+0.5*RUPTC518+3.25*RUPTN518+AUTMP315+SOLRE315+OTROC311+1.5*(INCTO318)+PROCO518*2.5+REPIN418+2.5*OPRES518)</t>
  </si>
  <si>
    <t>TDERE418+TDERE518+REPIN418+MEDTO318+INCTO318*0.6+TVOLU315*0.32+INTEV315+AUTME315+(PROMO318+PROES318)*1.6+SOLRE315+TCIVI515+TCON2311*1.25+MOVCO711*1.875+INCID311*1.25+MECAU311*1.25+(NVL(CONCU719,0)+NVL(ICTOT319,0)+NVL(PCTOT419,0)+NVL(DILTO319,0)+NVL(MEDCA319,0)+NVL(EXPAR319,0)+NVL(MONIT319,0)+NVL(JURIS419,0))*1.875+NVL(EJTOT319,0)</t>
  </si>
  <si>
    <t>TDERE618+MEDTO418+REPIN518+INCTO418+TVOLU415*0.6+INTEV415*0.32+AUTME415+(PROMO418+PROES418)*1.6+SOLRE415+TCIVI615+TCON2411*1.25+MOVCO811*1.875+INCID411*1.25+MECAU411*1.25+(NVL(CONCU819,0)+NVL(ICTOT419,0)+NVL(PCTOT519,0)+NVL(DILTO419,0)+NVL(MEDCA419,0)+NVL(EXPAR419,0)+NVL(MONIT419,0)+NVL(JURIS519,0))*1.875+NVL(EJTOT419,0)</t>
  </si>
  <si>
    <t>154</t>
  </si>
  <si>
    <t>Asuntos Devueltos al instructor</t>
  </si>
  <si>
    <t>Módulo Resolución 2018</t>
  </si>
  <si>
    <t>SENPT313+SENFT313+SENCOV13+SENCON13+NVL(SENPRT85,0)+NVL(PCNTO792,0)+NVL(PCINCO92,0)+NVL(PCSINV92,0)+NVL(PCIJO792,0)+NVL(PCIJV792,0)+NVL(PESCA792,0)+NVL(ORDSO792,0)+NVL(MDYMC792,0)</t>
  </si>
  <si>
    <t>SENPT313+SENFT313+SENCOV13+SENCON13+NVL(PCNTO792,0)+NVL(PCINCO92,0)+NVL(PCSINV92,0)+NVL(PCIJO792,0)+NVL(PCIJV792,0)+NVL(PESCA792,0)+NVL(ORDSO792,0)+NVL(MDYMC792,0)</t>
  </si>
  <si>
    <t>155</t>
  </si>
  <si>
    <t xml:space="preserve">Pendientes remitir por Fiscalía </t>
  </si>
  <si>
    <t>AUTOST13+NVL(AUACTT92,0)+NVL(AUACMT92,0)+NVL(AUAVTT92,0)+NVL(AUASTT92,0)+NVL(AUJVOL92,0)+NVL(AUDPRE92,0)+NVL(AUCAUT92,0)+NVL(AUEJEC92,0)+NVL(AUINNO92,0)+NVL(AUOTCO92,0)+NVL(AUMDMT92,0)+NVL(AULOPJ92,0)</t>
  </si>
  <si>
    <t>TDERE218+TVOLU215+INCID211+MECAU211+MOVCO211+INTEV215*0.2+MEDTO218+INCTO218+NVL(CONCU219,0)*2.2+NVL(ICTOT219,0)*2.2+NVL(EXPAR219,0)*2.2+NVL(PCTOT219,0)*2.2+NVL(DILTO219,0)*2.2+NVL(MEDCA219,0)*2.2+NVL(ASTOT219,0)*2.2+TCONT211*1.25+TCON2211*1.25+PROMO218+PROES218+AUTME215+SOLRE215+NVL(MICTO219,0)*2.2</t>
  </si>
  <si>
    <t>TDERE218+TDERE318+TVOLU215+INTEV215+INCID211+MECAU211+MOVCO211+MEDTO218+INCTO218+NVL(CONCU219,0)+NVL(ICTOT219,0)+NVL(EXPAR219,0)+NVL(PCTOT219,0)+NVL(DILTO219,0)+NVL(MEDCA219,0)+NVL(ASTOT219,0)+TCONT211+TCON2211+PROMO218+PROES218+SOLRE215+AUTME215+NVL(MICTO219,0)</t>
  </si>
  <si>
    <t>TCONT211+TCON2211+INCID211+MECAU211+MOVCO211+TVOLU215+INTEV215+TDERE218+MEDTO218+INCTO218+NVL(CONCU219,0)*2.2+NVL(ICTOT219,0)*2.2+NVL(EXPAR219,0)*2.2+NVL(PCTOT219,0)*2.2+NVL(DILTO219,0)*2.2+NVL(MEDCA219,0)*2.2+NVL(ASTOT219,0)*2.2+NVL(JURIS219,0)+NVL(MONIT219,0)+PROMO218+PROES218+AUTME215+SOLRE215+NVL(MICTO219,0)*2.2</t>
  </si>
  <si>
    <t>TCONT211+TCON2211+INCID211+MECAU211+TVOLU215+MOVCO211+INTEV215+TDERE218+TDERE318+MEDTO218+NVL(CONCU219,0)+NVL(ICTOT219,0)+NVL(EXPAR219,0)+NVL(PCTOT219,0)+NVL(DILTO219,0)+NVL(MEDCA219,0)+NVL(ASTOT219,0)+ NVL(JURIS119,0)+NVL(MONIT219,0)+PROMO218+PROES218+SOLRE215+INCTO218+NVL(MICTO219,0)</t>
  </si>
  <si>
    <t>TCONT211+TCON2211+MOVCO211+INCID211+MECAU211+TDERE218-RUPTC218+MEDTO218+INCTO218+EJEHI211+OTRNJ211+(-DIVOC218)+(-SEPAM218)+(-MECON218)+(-GUCON218)+NVL(CONCU219,0)*2+NVL(ICTOT219,0)*2+INTEV215*0.2+AUTMC215*0.2+AUTMP215+NVL(PCTOT219,0)*2+NVL(DILTO219,0)*2+NVL(MEDCA219,0)*2+NVL(EXPAR219,0)*2+PROMO218+PROES218+SOLRE215+NVL(MICTO219,0)*2</t>
  </si>
  <si>
    <t>TCONT211+TCON2211+INCID211+MECAU211+MOVCO211+TVOLU215+INTEV215*0.16+TDERE218*0.8+MEDTO218*0.8+INCTO218*0.8+NVL(CONCU219,0)*2.2+NVL(ICTOT219,0)*2.2+NVL(EXPAR219,0)*2.2+NVL(PCTOT219,0)*2.2+NVL(DILTO219,0)*2.2+NVL(MEDCA219,0)*2.2+NVL(ASTOT219,0)*2.2+NVL(JURIS219,0)+NVL(MONIT219,0)+NVL(TPROC224,0)*0.36+PROMO218+PROES218+AUTME215+SOLRE215+NVL(MICTO219,0)*2.2</t>
  </si>
  <si>
    <t>TCONT211+TCON2211+TVOLU215+INCID211+MECAU211+MOVCO211+INTEV215+TDERE218+TDERE318+MEDTO218+NVL(CONCU219,0)+NVL(ICTOT219,0)+NVL(EXPAR219,0)+NVL(PCTOT219,0)+NVL(DILTO219,0)+NVL(MEDCA219,0)+NVL(ASTOT219,0)+ NVL(JURIS119,0)+NVL(MONIT219,0)+NVL(TPROC224,0)+PROMO218+PROES218+SOLRE215+INCTO218+AUTME215+NVL(MICTO219,0)</t>
  </si>
  <si>
    <t>TCON2211+MOVCO211*1.5+INCID211+MECAU211+TVOLU215+(TDERE218+MEDTO218+INCTO218)*0.8+INTEV215+AUTME215+PROMO218+PROES218+REPIN318+SOLRE215+TCIVI215+(NVL(CONCU219,0) +NVL(ICTOT219,0)+NVL(PCTOT219,0)+NVL(DILTO219,0)+NVL(MEDCA219,0)+NVL(EXPAR219,0)+NVL(MONIT219,0)+NVL(JURIS219,0))*1.5+NVL(EJTOT219,0)+(NVL(TPROC224,0)+NVL(PIESE224,0)+NVL(ASUEX224,0)+NVL(MICTO219,0))*0.36</t>
  </si>
  <si>
    <t>TDERE218+MEDTO218+INCTO218+TVOLU215*0.6+INTEV215*0.32+AUTME215+(PROMO218-PROCO218-PRONO218+PROES218+PROCO218)*1.6+PRONO218*0.6+REPIN318+SOLRE215+TCIVI215+TCON2211*1.25+MOVCO211*1.875+INCID211*1.25+MECAU211*1.25+(NVL(CONCU219,0)+NVL(ICTOT219,0)+NVL(PCTOT219,0)+NVL(DILTO219,0)+NVL(MEDCA219,0)+NVL(EXPAR219,0)+NVL(MONIT219,0)+NVL(JURIS219,0)+NVL(MICTO219,0))*1.875+NVL(EJTOT219,0)</t>
  </si>
  <si>
    <t>TCON2211+MOVCO211*1.5+INCID211+MECAU211+TVOLU215+(TDERE218+MEDTO218+INCTO218)+INTEV215+AUTME215+PROMO218+PROES218+REPIN318+SOLRE215+TCIVI215+(NVL(CONCU219,0)+NVL(ICTOT219,0)+NVL(PCTOT219,0)+NVL(DILTO219,0)+NVL(MEDCA219,0)+NVL(EXPAR219,0)+NVL(SOLEX219,0)+NVL(MONIT219,0)+NVL(JURIS219,0)+NVL(MICTO219,0))*1.5+NVL(EJTOT219,0)+NVL(PCTOT247,0)+NVL(MEDTO247,0)+NVL(INCTO247,0)</t>
  </si>
  <si>
    <t>TCON2211+MOVCO211*1.5+INCID211+MECAU211+TVOLU215+(TDERE218+MEDTO218+INCTO218)+INTEV215+AUTME215+PROMO218+PROES218+REPIN318+SOLRE215+TCIVI215+(NVL(CONCU219,0)+NVL(ICTOT219,0)+NVL(PCTOT219,0)+NVL(DILTO219,0)+NVL(MEDCA219,0)+NVL(EXPAR219,0)+NVL(SOLEX219,0)+NVL(MONIT219,0)+NVL(JURIS219,0)+NVL(MICTO219,0))*1.5+NVL(EJTOT219,0)+NVL(PCTOT247,0)</t>
  </si>
  <si>
    <t>6*(NULID518)+0.5*(DIVOC518+SEPAM518)+3.25*(DIVON518+SEPAC518)+0.5*(GUCON518)+3.25*(GUNOC518)+0.5*(MECON518)+3.25*(MENOC518)+4.5*(JUORD518)+4.25*(LIREG518)+2.5*(JUVER518+PROMO318-PROCO518-PRONO518+PROCO518)+REPIN418+PROES318+1.5*(INCTO318)+OTRAP518+OTROC311+EFICA518+2.5*(SUSTR518)+0.5*(RUPTC518)+3.25*(RUPTN518)+AUTMP315+SOLRE315+2.5*OPRES518</t>
  </si>
  <si>
    <t>TCON2311+MOVCO711*1.5+INCID311+REPIN418+MECAU311+TVOLU315+(TDERE418+TDERE518+MEDTO318+INCTO318)*0.8+INTEV315+AUTME315+PROMO318+PROES318+SOLRE315+TCIVI515+(NVL(CONCU719,0)+NVL(ICTOT319,0)+NVL(PCTOT419,0)+NVL(DILTO319,0)+NVL(MEDCA319,0)+NVL(EXPAR319,0)+NVL(MONIT319,0)+NVL(JURIS419,0))*1.5+NVL(EJTOT519,0)+(NVL(TPROC424,0)+NVL(PIESE324,0)+NVL(ASUEX324,0)+NVL(MICTO519,0))*0.36</t>
  </si>
  <si>
    <t>TCON2311+MOVCO711*1.5+INCID311+REPIN418+MECAU311+TVOLU315+(TDERE418+TDERE518+MEDTO318+INCTO318)+INTEV315+AUTME315+PROMO318+PROES318+SOLRE315+TCIVI515 +(NVL(CONCU719,0)+NVL(ICTOT319,0)+NVL(PCTOT419,0)+NVL(DILTO319,0)+NVL(MEDCA319,0)+NVL(EXPAR319,0)+NVL(MONIT319,0)+NVL(JURIS419,0)+NVL(MICTO519,0))*1.5+NVL(EJTOT519,0)+NVL(PCTOT447,0)+NVL(PCTOT547,0)</t>
  </si>
  <si>
    <t>TCON2411+MOVCO811*1.5+INCID411+REPIN518+MECAU411+TVOLU415+(TDERE618+MEDTO418+INCTO418)*0.8+INTEV415+AUTME415+PROMO418+PROES418+SOLRE415+TCIVI615+(NVL(CONCU819,0)+NVL(ICTOT419,0)+NVL(PCTOT519,0)+NVL(DILTO419,0)+NVL(MEDCA419,0)+NVL(EXPAR419,0)+NVL(MONIT419,0)+NVL(JURIS519,0))*1.5+NVL(EJTOT619,0)+(NVL(TPROC524,0)+NVL(PIESE424,0)+NVL(ASUEX424,0)+NVL(MICTO619,0))*0.36</t>
  </si>
  <si>
    <t>TCON2411+MOVCO811*1.5+INCID411+REPIN518+MECAU411+TVOLU415+(TDERE618+MEDTO418+INCTO418)+INTEV415*+AUTME415+PROMO418+PROES418+SOLRE415+TCIVI615 +(NVL(CONCU819,0)+NVL(ICTOT419,0)+NVL(PCTOT519,0)+NVL(DILTO419,0)+NVL(MEDCA419,0)+NVL(EXPAR419,0)+NVL(MONIT419,0)+NVL(JURIS519,0)+NVL(MICTO619,0))*1.5+NVL(EJTOT619,0)+NVL(PCTOT647,0)</t>
  </si>
  <si>
    <t>Jueces sustitutos. En funciones de sustitución del titular/Alumnos en prácticas de la Escuela Judicial.</t>
  </si>
  <si>
    <t>Jueces sustitutos. En funciones de refuerzo/Alumnos en prácticas de la Escuela Judicial.</t>
  </si>
  <si>
    <t>Magistrado suplente. En funciones de sustitución del titular/Alumnos en prácticas de la Escuela Judicial.</t>
  </si>
  <si>
    <t>Magistrado suplente. En funciones de refuerzo/Alumnos en prácticas de la Escuela Judicial.</t>
  </si>
  <si>
    <t xml:space="preserve">TVOLU215+PRONO218 </t>
  </si>
  <si>
    <t>TVOLU115+PRONO118</t>
  </si>
  <si>
    <t>TVOLU315+PRONO418+PRONO518</t>
  </si>
  <si>
    <t xml:space="preserve">TVOLU415+PRONO618 </t>
  </si>
  <si>
    <t>TCON1111+MOVCO111+INCID111+MECAU111+TCON2111+TDERE118+NVL(CONCU119,0)+NVL(ICTOT119,0)+NVL(EXPAR119,0)+NVL(PCTOT119,0)+NVL(MONIT119,0)+NVL(JURIS119,0)+NVL(DILTO119,0)+NVL(MEDCA119,0)+NVL(ASTOT119,0)+INTEV115+PROCO118+PROES118+MEDTO118+INCTO118+AUTME115+SOLRE115+NVL(MICTO119,0)</t>
  </si>
  <si>
    <t>TCONT211+TCON2211+MOVCO211+INCID211+MECAU211+TDERE218+TDERE318+NVL(CONCU219,0)+NVL(ICTOT219,0)+NVL(EXPAR219,0)+NVL(PCTOT219,0)+NVL(MONIT219,0)+NVL(JURIS219,0)+NVL(DILTO219,0)+NVL(MEDCA219,0)+NVL(ASTOT219,0)+INTEV215+NVL(TPROC224,0)+NVL(TPROC324,0)+PROCO218+PROCO318+PROES218+MEDTO218+INCTO218+NVL(PIESE224,0)+NVL(SOLEX119,0)+AUTME215+SOLRE215+NVL(MICTO219,0)</t>
  </si>
  <si>
    <t>TCON1311+TCON2311+MOVCO511+MOVCO611+MOVCO711+INCID311+MECAU311+TDERE418+TDERE518+NVL(CONCU519,0)+NVL(CONCU619,0)+NVL(CONCU719,0)+NVL(ICTOT319,0)+NVL(EXPAR319,0)+NVL(PCTOT419,0)+NVL(MONIT319,0)+NVL(JURIS419,0)+NVL(DILTO319,0)+NVL(MEDCA319,0)+NVL(ASTOT319,0)+INTEV315+NVL(TPROC424,0)+PROCO518+PROES318+MEDTO318+INCTO318+NVL(PIESE324,0)+AUTME315+SOLRE315+NVL(MICTO519,0)</t>
  </si>
  <si>
    <t>TCON1411+TCON2411+TDERE618+NVL(CONCU819,0)+NVL(ICTOT419,0)+NVL(EXPAR419,0)+NVL(PCTOT519,0)+NVL(MONIT419,0)+NVL(JURIS519,0)+NVL(DILTO419,0)+NVL(MEDCA419,0)+NVL(ASTOT419,0)+INTEV415+NVL(TPROC524,0)+PROCO618+PROES418+MOVCO811+INCID411+MECAU411+MEDTO418+INCTO418+NVL(PIESE424,0)+AUTME415+SOLRE415+NVL(MICTO619,0)</t>
  </si>
  <si>
    <t>TCON1111+MOVCO111+INCID111+MECAU111+TCON2111+TDERE118+INTEV115+PROCO118+PROES118+MEDTO118+INCTO118+AUTME115+SOLRE115</t>
  </si>
  <si>
    <t>TCONT211+TCON2211+MOVCO211+INCID211+MECAU211+TDERE218+TDERE318+INTEV215+PROCO218+PROCO318+PROES218+MEDTO218+INCTO218+SOLRE215+AUTME215</t>
  </si>
  <si>
    <t>TCON1311+TCON2311+MOVCO511+MOVCO611+MOVCO711+INCID311+MECAU311+TDERE418+TDERE518+INTEV315+PROCO518+PROES318+MEDTO318+INCTO318+AUTME315+SOLRE315</t>
  </si>
  <si>
    <t>TCON1411+TCON2411+TDERE618+INTEV415+PROCO618+PROES418+MOVCO811+INCID411+MECAU411+MEDTO418+INCTO418+AUTME415+SOLRE415</t>
  </si>
  <si>
    <t>TVOLU215+PRONO218</t>
  </si>
  <si>
    <t>2.84*TCON1311+12*(QUIEB311)+12*(SUSPE311)+(EJEHI411+EJEHI511)+4.5*(ORDIN311)+4.25*(DIPAT311+MOVCO711)+ESCAS311+2.5*(VERAR311+VERPO311+DEMAS311+VEROC311+TRAFA311+ARTLE311)+2*MECAU311+0.15*(MONIT311+MONIE311)+0.75*CAMBI311+1.5*(INCID311+INCTO318)+PROMO318-PROCO518-PRONO518+PROCO518*2.5+REPIN418+PROES318+OTRAP518+OTROC311+6*(NULID518)+0.5*(DIVOC518+SEPAM518)+3.25*(DIVON518+SEPAC518)+EFICA518+MEDTO318+0.5*(GUCON518)+3.25*(GUNOC518)+0.5*(MECON518)+3.25*(MENOC518)+0.5*(RUPTC518)+AUTMP315+3.25*(RUPTN518)+4.5*(JUORD518)+4.25*(LIREG518)+2.5*(JUVER518)+2.5*(SUSTR518)+2.5*(OPRES518)+SOLRE315+NVL(6*PCCONV92,0)+NVL(8*PCCALI92,0)+NVL(4.5*PCINCO92,0)+NVL(4.5*PCSINV92,0)+NVL(4.5*PCIJO792,0)+NVL(2.5*PCIJV792,0)+NVL(2.5*PESCA792,0)+NVL(3.5*ORDSET92,0)+NVL(AUSINM92,0)*6+NVL(AUREL192,0)*6+NVL(AUREL292,0)*6+NVL(AUREL392,0)*6+NVL(6*AURESO92,0)+NVL(6*AUCOFA92,0)+NVL(6*AUNOAC92,0)+NVL(6*AUDECU92,0)+NVL(6*AUAPPI92,0)+NVL(2*AUREAU92,0)+NVL(2.5*AUAVT192,0)+NVL(4.5*AUAVT292,0)+NVL(0.15*AUAVT392,0)+NVL(2.5*AUAVT492,0)+NVL(0.5*AUASAP92,0)+NVL(6*AUASRE92,0)+NVL(3.5*AUASDI92,0)+NVL(2*AUDPRE92,0)+NVL(2*AUCAUT92,0)+NVL(1.5*AUINNO92,0)+NVL(1*AUOTCO92,0)+NVL(AUACT192*4.5,0)+NVL(ORDIN192*3.5,0)+NVL(ORDIN292*3,0)+2.5*(GREATEST(NVL(ICLAB319,0)-NVL(ORDIN192,0)-NVL(ORDIN292,0)-NVL(ORDSET92,0),0))</t>
  </si>
  <si>
    <t>(CASE WHEN SENPT313+SENCOV13+SENCON13+SENFT313&gt;0 THEN (SENPT314+SENICV14+SENINS14+SENFT314)/(SENPT313+SENCOV13+SENCON13+SENFT313) ELSE 0 END)*(2.84*TCON1311+EJEHI411+EJEHI511+12*QUIEB311+12*SUSPE311+4.5*(ORDIN311)+4.25*(DIPAT311+MOVCO711)+2.5*(VERAR311+VERPO311+DEMAS311+VEROC311+TRAFA311+ARTLE311)+2*MECAU311+ESCAS311+0.75*CAMBI311+1.5*(INCID311)+OTROC311+PROMO318-PROCO518-PRONO518+PROCO518*2.5+REPIN418+PROES318+6*(NULID518)+0.5*(DIVOC518+SEPAM518)+3.25*(DIVON518+SEPAC518)+EFICA518+MEDTO318+0.5*(GUCON518)+3.25*(GUNOC518)+0.5*(MECON518)+2.5*(OPRES518)+3.25*(MENOC518)+4.5*(JUORD518)+4.25*(LIREG518)+2.5*(JUVER518)+1.5*(INCTO318)+OTRAP518+2.5*SUSTR518+0.5*RUPTC518+3.25*RUPTN518+AUTMP315+SOLRE315)</t>
  </si>
  <si>
    <t>(CASE WHEN SENPT313+SENCOV13+SENCON13+SENFT313&gt;0 THEN (SENPT314+SENICV14+SENINS14+SENFT314)/(SENPT313+SENCOV13+SENCON13+SENFT313) ELSE 0 END)*(2.84*TCON1311+(EJEHI411+EJEHI511)+12*(QUIEB311)+12*(SUSPE311)+4.5*(ORDIN311+JUORD518)+4.25*(DIPAT311+LIREG518+MOVCO711)+2.5*(OPRES518)+2.5*(VERAR311+VERPO311+DEMAS311+ESCAS311+JUVER518+VEROC311+TRAFA311+ARTLE311)+2*(MECAU311)+0.75*(CAMBI311)+1.5*(INCID311++INCTO318)+6*(NULID518)+0.5*(SEPAM518+DIVOC518)+3.25*(SEPAC518+DIVON518)+(EFICA518)+MEDTO318+0.5*(GUCON518)+3.25*(GUNOC518)+0.5*(MECON518)+3.25*(MENOC518)+(OTRAP518+OTROC311+PROMO318-PROCO518-PRONO518+PROES318+PROCO518*2.5+REPIN418+ESCAS311)+2.5*SUSTR518+0.5*RUPTC518+3.25*RUPTN518+AUTMP315+SOLRE315)</t>
  </si>
  <si>
    <t>2.84*NVL(TCON1311,0)+4.5*(NVL(ORDIN311,0)+NVL(JUORD518,0))+4.25*(NVL(DIPAT311,0)+NVL(LIREG518,0))+2.5*(NVL(VERAR311,0)+NVL(VERPO311,0)+NVL(DEMAS311,0)+ NVL(JUVER518,0)+NVL(VEROC311,0)+NVL(TRAFA311,0)+NVL(ARTLE311,0))+2*(NVL(MECAU311,0))+0.15*(NVL(MONIT311,0)+NVL(MONIE311,0))+0.75*(NVL(CAMBI311,0))+1.5*(NVL(INCID311,0)+NVL(ESCAS311,0)+NVL(INCTO318,0))+6*(NVL(NULID518,0))+0.5*(NVL(SEPAM518,0)+NVL(DIVOC518,0))+3.25*(NVL(SEPAC518,0)+NVL(DIVON518,0))+(NVL(EFICA518,0))+0.5*(NVL(GUCON518,0))+3.25*(NVL(GUNOC518,0))+0.5*(NVL(MECON518,0))+3.25*(NVL(MENOC518,0))+(NVL(PROMO318,0)+NVL(PROES318,0))+NVL(MEDTO318,0)+(NVL(OTRAP518,0)+NVL(OTROC311,0))+2.5*(NVL(OPRES518,0))</t>
  </si>
  <si>
    <t>(CASE WHEN SENPT313+SENCOV13+SENCON13+SENFT313&gt;0 THEN (SENPT314+SENICV14+SENINS14+SENFT314)/(SENPT313+SENCOV13+SENCON13+SENFT313) ELSE 0 END)*(2.84*TCON1311+4.5*(ORDIN311)+4.25*DIPAT311+2.5*(VERAR311+VERPO311+DEMAS311+VEROC311+TRAFA311+ARTLE311)+2*MECAU311+0.15*(MONIT311+MONIE311)+NVL(ESCAS311,0)+0.75*CAMBI311+1.5*(INCID311+INCTO318)+OTROC311+PROMO318+PROES318+6*(NULID518)+0.5*(DIVOC518+SEPAM518)+3.25*(DIVON518+SEPAC518)+EFICA518+MEDTO318+0.5*(GUCON518)+3.25*(GUNOC518)+0.5*(MECON518)+3.25*(MENOC518)+4.5*(JUORD518)+2.5*(OPRES518)+4.25*(LIREG518)+2.5*(JUVER518)+OTRAP518)</t>
  </si>
  <si>
    <t>2.84*TCON1311+4.5*(ORDIN311)+4.25*(DIPAT311+MOVCO711)+2.5*(VERAR311+VERPO311+DEMAS311+VEROC311+TRAFA311+ARTLE311)+2*MECAU311+0.15*(MONIT311+MONIE311)+0.75*CAMBI311+1.5*(INCID311)</t>
  </si>
  <si>
    <t xml:space="preserve">(CASE WHEN SENPT313+SENCOV13+SENCON13+SENFT313&gt;0 THEN (SENPT314+SENICV14+SENINS14+SENFT314)/(SENPT313+SENCOV13+SENCON13+SENFT313) ELSE 0 END)*(2.84*TCON1311+4.5*(ORDIN311)+4.25*DIPAT311+2.5*(VERAR311+VERPO311+DEMAS311+VEROC311+TRAFA311+ARTLE311)+2*MECAU311+0.75*CAMBI311+1.5*(INCID311)+OTROC311) </t>
  </si>
  <si>
    <t>CODUNIDAD</t>
  </si>
  <si>
    <t>156</t>
  </si>
  <si>
    <t>CODUNIDAD
(Se muestra en  lsa coluna BZ de juez,
 Nº asuntos, resol asuntos, las de indicadores)</t>
  </si>
  <si>
    <t xml:space="preserve"> En comisión de servicio sin relevación de funciones o cualquier otra sustitución retribuida (No refuerzo)</t>
  </si>
  <si>
    <t>TCON1411+TCON2411+TDERE618-RUPTC618+EJEHI611+OTRNJ611+(-DIVOC618)+(-SEPAM618)+(-MECON618)+(-GUCON618)+INTEV415*0.2+AUTMC415*0.2+AUTMP415+NVL(PCTOT647,0)+(-NVL(PCCON647,0))+(-NVL(PCSAC647,0))+(-NVL(PCMOD647,0))+(-NVL(PCGUA647,0))+NVL(PCRUC647,0)+NVL(MEDTO447,0)+NVL(INCTO447,0)+NVL(CONCU819,0)+NVL(ICTOT419,0)+NVL(EXPAR419,0)+NVL(PCTOT519,0)+NVL(DILTO419,0)+NVL(MEDCA419,0)+PROMO418+PROES418+MOVCO811+INCID411+MECAU411+MEDTO418+INCTO418+SOLRE415</t>
  </si>
  <si>
    <t>(PCNUL547)*6+(PCCON547+PCSAC547)* 0.5+(PCNCO547+PCSCO547)* 3.25+(PCEFI547)+(MEDTO347)+(PCGUA547)* 0.5+(PCGNC547)*3.25+(PCMOD547)* 0.5+(PCMOC547)* 3.25+(PCLIQ547)*4.25+(PCJVE547)*2.5+(INCTO347)*1.5+(PCOTR547)+ 2.5*(PCSUS547)+0.5*(PCRUC547)+3.25*(PCRUN547)+EXPOT347</t>
  </si>
  <si>
    <t>(CASE WHEN SENPRT85&gt;0 THEN SENPRT82/SENPRT85 ELSE 0 END)*(PCNUL547*6+(PCCON547+PCSAC547)*0.5+(PCNCO547+PCSCO547)*3.25+PCEFI547*1+(MEDTO347)*1+PCGUA547*0.5+PCGNC547*3.25+PCMOD547*0.5+PCMOC547*3.25+PCLIQ547*4.25+PCJVE547*2.5+(INCTO347)*1.5+PCOTR547*1+2.5*(PCSUS547)+0.5*(PCRUC547)+3.25*(PCRUN547)+EXPOT347)</t>
  </si>
  <si>
    <t>PCTOT247+PCTOT347+MEDTO247+INCTO247+EXPOT247</t>
  </si>
  <si>
    <t>TCONT211+TCON2211+MOVCO211+INCID211+MECAU211+TDERE218+TDERE318+NVL(PCTOT247,0)+NVL(CONCU219,0)+NVL(ICTOT219,0)+NVL(EXPAR219,0)+NVL(PCTOT219,0)+NVL(MONIT219,0)+NVL(JURIS219,0)+NVL(DILTO219,0)+NVL(MEDCA219,0)+NVL(ASTOT219,0)+INTEV215+PROCO218+PROES218+MEDTO218+INCTO218+NVL(SOLEX119,0)+NVL(MEDTO247,0)+NVL(INCTO247,0)+AUTME215+SOLRE215+NVL(MICTO219,0)+NVL(EXPOT247,0)</t>
  </si>
  <si>
    <t>TCONT211+TCON2211+MOVCO211+INCID211+MECAU211+TDERE218-RUPTC218+MEDTO218+INCTO218+EJEHI211+OTRNJ211+(-DIVOC218)+(-SEPAM218)+(-MECON218)+(-GUCON218)+INTEV215*0.2+AUTMC215*0.2+AUTMP215+NVL(PCTOT247,0)+(-NVL(PCCON247,0))+(-NVL(PCSAC247,0))+(-NVL(PCMOD247,0))+(-NVL(PCGUA247,0))+NVL(MEDTO247,0)+NVL(INCTO247,0)+NVL(-PCRUC247,0)+NVL( CONCU219,0)+NVL(ICTOT219,0)+NVL(PCTOT219,0)+NVL(DILTO219,0)+NVL(MEDCA219,0)+NVL(EXPAR219,0)+PROMO218+PROES218+SOLRE215+NVL(MICTO219,0)+NVL(EXPOT247,0)</t>
  </si>
  <si>
    <t>PCTOT447+PCTOT547+MEDTO347+INCTO347+EXPOT347</t>
  </si>
  <si>
    <t>TCON1311+TCON2311+MOVCO511+MOVCO611+MOVCO711+INCID311+MECAU311+TDERE418+TDERE518+NVL(PCTOT447,0)+NVL(PCTOT547,0)+NVL(CONCU519,0)+NVL(CONCU619,0)+NVL(CONCU719,0)+NVL(ICTOT319,0)+NVL(EXPAR319,0)+NVL(PCTOT419,0)+NVL(MONIT319,0)+NVL(JURIS419,0)+NVL(DILTO319,0)+NVL(MEDCA319,0)+NVL(ASTOT319,0)+INTEV315+PROCO518+PROES318+MEDTO318+INCTO318+NVL(MEDTO347,0)+NVL(INCTO347,0)+AUTME315+SOLRE315+NVL(MICTO519,0)+NVL(EXPOT347,0)</t>
  </si>
  <si>
    <t>TCON1311+TCON2311+MOVCO511+MOVCO611+MOVCO711+INCID311+MECAU311+TDERE518-RUPTC518+MEDTO318+INCTO318+EJEHI511+EJEHI411+OTRNJ511+OTRNJ411+(-DIVOC518)+(-SEPAM518)+(-MECON518)+(-GUCON518)+INTEV315*0.2+AUTMC315*0.2+AUTMP315+NVL(PCTOT547,0)+(-NVL(PCCON547,0))+(-NVL(PCSAC547,0))+(-NVL(PCMOD547,0))+(-NVL(PCGUA547,0))+NVL(PCRUC547,0)+NVL(MEDTO347,0)+NVL(INCTO347,0)+NVL(CONCU519,0)+NVL(CONCU619,0)+NVL(CONCU719,0)+NVL(ICTOT319,0)+NVL(EXPAR319,0)+NVL(PCTOT419,0)+NVL(DILTO319,0)+NVL(MEDCA319,0)+PROMO318+PROES318+SOLRE315+NVL(EXPOT347,0)</t>
  </si>
  <si>
    <t>2.84*TCON1311+12*(QUIEB311)+12*(SUSPE311)+(EJEHI411+EJEHI511)+4.5*(ORDIN311+JUORD518)+4.25*(DIPAT311+LIREG518+MOVCO711)+2.5*(VERAR311+VERPO311+DEMAS311+JUVER518+VEROC311+TRAFA311+ARTLE311)+2*(MECAU311)+0.15*(MONIT311+MONIE311)+0.75*(CAMBI311)+1.5*(INCID311+INCTO318)+6*(NULID518)+0.5*(SEPAM518+DIVOC518)+3.25*(SEPAC518+DIVON518)+(EFICA518)+2.5*(OPRES518)+(MEDTO318)+0.5*(GUCON518)+3.25*(GUNOC518)+0.5*(MECON518)+2.5*(SUSTR518)+0.5*(RUPTC518)+3.25*(RUPTN518)+AUTMP315+3.25*(MENOC518)+(OTRAP518+OTROC311+PROMO318-PROCO518-PRONO518+PROES318+PROCO518*2.5+REPIN418)+ESCAS311+SOLRE315+(NVL(PCNUL547,0))*6+(NVL(PCCON547,0)+NVL(PCSAC547,0))*0.5+ 2.5*(NVL(PCSUS547,0))+0.5*(NVL(PCRUC547,0))+3.25*(NVL(PCRUN547,0))+(NVL(PCNCO547,0)+NVL(PCSCO547,0))*3.25+(NVL(PCEFI547,0))+(NVL(MEDTO347,0)+NVL(EXPOT347,0))+(NVL(PCGUA547,0))* 0.5+(NVL(PCGNC547,0))*3.25+(NVL(PCMOD547,0))* 0.5+(NVL(PCMOC547,0))* 3.25+(NVL(PCLIQ547,0))*4.25+(NVL(PCJVE547,0))*2.5+(NVL(INCDE347,0)+(NVL(INCEJ347,0)+NVL(ILOPJ347,0))*1.5+(NVL(PCOTR547,0))+ NVL(6*PCCONV92,0)+NVL(8*PCCALI92,0)+NVL(4.5*PCINCO92,0)+NVL(4.5*PCSINV92,0)+NVL(4.5*PCIJO792,0)+NVL(2.5*PCIJV792,0)+NVL(2.5*PESCA792,0)+NVL(3.5*ORDSET92,0)+NVL(6*AURESO92,0)+NVL(6*AUCOFA92,0)+NVL(6*AUNOAC92,0)+NVL(6*AUDECU92,0)+NVL(AUSINM92,0)*6+NVL(AUREL192,0)*6+NVL(AUREL292,0)*6+NVL(AUREL392,0)*6+NVL(6*AUAPPI92,0)+NVL(2*AUREAU92,0)+NVL(2.5*AUAVT192,0)+NVL(4.5*AUAVT292,0)+NVL(0.15*AUAVT392,0)+NVL(2.5*AUAVT492,0)+NVL(0.5*AUASAP92,0)+NVL(6*AUASRE92,0)+NVL(3.5*AUASDI92,0)+NVL(2*AUDPRE92,0)+NVL(2*AUCAUT92,0)+NVL(1.5*AUINNO92,0)+NVL(1*AUOTCO92,0)+NVL(AUACT192*4.5,0)+NVL(ORDIN192*3.5,0)+NVL(ORDIN292*3,0)+2.5*(GREATEST(NVL(ICLAB319,0)-NVL(ORDIN192,0)-NVL(ORDIN292,0)-NVL(ORDSET92,0),0)))</t>
  </si>
  <si>
    <t>PCTOT147+MEDTO147+INCTO147+EXPOT147</t>
  </si>
  <si>
    <t>PCTOT647+MEDTO447+INCTO447+EXPOT447</t>
  </si>
  <si>
    <t>TCON1411+TCON2411+TDERE618+NVL(PCTOT647,0)+NVL(CONCU819,0)+NVL(ICTOT419,0)+NVL(EXPAR419,0)+NVL(PCTOT519,0)+NVL(MONIT419,0)+NVL(JURIS519,0)+NVL(DILTO419,0)+NVL(MEDCA419,0)+NVL(ASTOT419,0)+INTEV415+PROCO618+PROES418+MOVCO811+INCID411+MECAU411+MEDTO418+INCTO418+NVL(MEDTO447,0)+NVL(INCTO447,0)+AUTME415+SOLRE415+NVL(MICTO619,0)++NVL(EXPOT447,0)</t>
  </si>
  <si>
    <t>TCON1111+MOVCO111+INCID111+MECAU111+TCON2111+TDERE118+NVL(PCTOT147,0)+NVL(CONCU119,0)+NVL(ICTOT119,0)+NVL(EXPAR119,0)+NVL(PCTOT119,0)+NVL(MONIT119,0)+NVL(JURIS119,0)+NVL(DILTO119,0)+NVL(MEDCA119,0)+NVL(ASTOT119,0)+INTEV115+PROCO118+PROES118+MEDTO118+INCTO118+AUTME115+SOLRE115+NVL(MICTO119,0)+NVL(EXPOT147,0)</t>
  </si>
  <si>
    <t xml:space="preserve">Jdos. 1ª Instª. e Instr./Secc. Civil y de Inst. TI                      </t>
  </si>
  <si>
    <t>Jdos. Violencia contra la mujer/Secc Viol. TI.</t>
  </si>
  <si>
    <t>Fecha Informe: 17 mar. 2026</t>
  </si>
  <si>
    <t>Tribunales de Justicia</t>
  </si>
  <si>
    <t>CATALUÑA</t>
  </si>
  <si>
    <t>Provincias</t>
  </si>
  <si>
    <t>BARCELONA</t>
  </si>
  <si>
    <t>Resumenes por Partidos Judiciales</t>
  </si>
  <si>
    <t>VIC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</si>
</sst>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 _p_t_a_-;\-* #,##0\ _p_t_a_-;_-* &quot;-&quot;\ _p_t_a_-;_-@_-"/>
    <numFmt numFmtId="165" formatCode="0.000"/>
    <numFmt numFmtId="166" formatCode="0.0%"/>
    <numFmt numFmtId="167" formatCode="_-* #,##0.00\ [$€]_-;\-* #,##0.00\ [$€]_-;_-* &quot;-&quot;??\ [$€]_-;_-@_-"/>
    <numFmt numFmtId="168" formatCode="0.0"/>
    <numFmt numFmtId="169" formatCode="#,##0.0"/>
    <numFmt numFmtId="170" formatCode="0;[Red]0"/>
  </numFmts>
  <fonts count="8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News Gothic MT"/>
      <family val="2"/>
    </font>
    <font>
      <b/>
      <sz val="9"/>
      <name val="Times New Roman"/>
      <family val="1"/>
    </font>
    <font>
      <b/>
      <sz val="8"/>
      <name val="Times New Roman"/>
      <family val="1"/>
    </font>
    <font>
      <b/>
      <sz val="9"/>
      <color indexed="12"/>
      <name val="Times New Roman"/>
      <family val="1"/>
    </font>
    <font>
      <sz val="8"/>
      <name val="Times New Roman"/>
      <family val="1"/>
    </font>
    <font>
      <b/>
      <i/>
      <sz val="9"/>
      <name val="Times New Roman"/>
      <family val="1"/>
    </font>
    <font>
      <u/>
      <sz val="10"/>
      <name val="Arial"/>
      <family val="2"/>
    </font>
    <font>
      <b/>
      <sz val="10"/>
      <color indexed="12"/>
      <name val="News Gothic MT"/>
      <family val="2"/>
    </font>
    <font>
      <b/>
      <u/>
      <sz val="9"/>
      <name val="Times New Roman"/>
      <family val="1"/>
    </font>
    <font>
      <sz val="10"/>
      <name val="Arial"/>
      <family val="2"/>
    </font>
    <font>
      <sz val="8"/>
      <color indexed="81"/>
      <name val="Tahoma"/>
      <family val="2"/>
    </font>
    <font>
      <b/>
      <sz val="10"/>
      <name val="Arial"/>
      <family val="2"/>
    </font>
    <font>
      <sz val="8"/>
      <name val="Arial"/>
      <family val="2"/>
    </font>
    <font>
      <b/>
      <sz val="8"/>
      <color indexed="81"/>
      <name val="Tahoma"/>
      <family val="2"/>
    </font>
    <font>
      <b/>
      <i/>
      <sz val="10"/>
      <name val="Arial"/>
      <family val="2"/>
    </font>
    <font>
      <b/>
      <sz val="10"/>
      <name val="Times New Roman"/>
      <family val="1"/>
    </font>
    <font>
      <i/>
      <sz val="10"/>
      <name val="News Gothic MT"/>
      <family val="2"/>
    </font>
    <font>
      <u/>
      <sz val="8"/>
      <name val="Arial"/>
      <family val="2"/>
    </font>
    <font>
      <b/>
      <sz val="12"/>
      <name val="Times New Roman"/>
      <family val="1"/>
    </font>
    <font>
      <i/>
      <sz val="18"/>
      <name val="Arial"/>
      <family val="2"/>
    </font>
    <font>
      <b/>
      <sz val="10"/>
      <color indexed="18"/>
      <name val="Times New Roman"/>
      <family val="1"/>
    </font>
    <font>
      <sz val="10"/>
      <name val="MS Sans Serif"/>
      <family val="2"/>
    </font>
    <font>
      <b/>
      <sz val="9"/>
      <color indexed="18"/>
      <name val="Times New Roman"/>
      <family val="1"/>
    </font>
    <font>
      <b/>
      <sz val="10"/>
      <color indexed="18"/>
      <name val="Arial"/>
      <family val="2"/>
    </font>
    <font>
      <sz val="10"/>
      <color indexed="18"/>
      <name val="Arial"/>
      <family val="2"/>
    </font>
    <font>
      <sz val="10"/>
      <name val="Times New Roman"/>
      <family val="1"/>
    </font>
    <font>
      <b/>
      <sz val="8"/>
      <color indexed="18"/>
      <name val="Times New Roman"/>
      <family val="1"/>
    </font>
    <font>
      <b/>
      <u/>
      <sz val="8"/>
      <name val="Times New Roman"/>
      <family val="1"/>
    </font>
    <font>
      <sz val="12"/>
      <name val="Arial"/>
      <family val="2"/>
    </font>
    <font>
      <b/>
      <sz val="8"/>
      <name val="Arial"/>
      <family val="2"/>
    </font>
    <font>
      <b/>
      <sz val="14"/>
      <name val="Times New Roman"/>
      <family val="1"/>
    </font>
    <font>
      <b/>
      <sz val="12"/>
      <color indexed="10"/>
      <name val="Times New Roman"/>
      <family val="1"/>
    </font>
    <font>
      <sz val="10"/>
      <color indexed="9"/>
      <name val="Arial"/>
      <family val="2"/>
    </font>
    <font>
      <b/>
      <sz val="10"/>
      <color indexed="9"/>
      <name val="Arial"/>
      <family val="2"/>
    </font>
    <font>
      <sz val="11"/>
      <name val="Times New Roman"/>
      <family val="1"/>
    </font>
    <font>
      <sz val="11"/>
      <name val="Arial"/>
      <family val="2"/>
    </font>
    <font>
      <b/>
      <sz val="11"/>
      <color indexed="18"/>
      <name val="Times New Roman"/>
      <family val="1"/>
    </font>
    <font>
      <b/>
      <sz val="11"/>
      <color indexed="18"/>
      <name val="Arial"/>
      <family val="2"/>
    </font>
    <font>
      <b/>
      <sz val="11"/>
      <color indexed="12"/>
      <name val="Times New Roman"/>
      <family val="1"/>
    </font>
    <font>
      <sz val="10"/>
      <name val="Trebuchet MS"/>
      <family val="2"/>
    </font>
    <font>
      <sz val="10"/>
      <color indexed="62"/>
      <name val="Trebuchet MS"/>
      <family val="2"/>
    </font>
    <font>
      <b/>
      <sz val="10"/>
      <color indexed="62"/>
      <name val="Times New Roman"/>
      <family val="1"/>
    </font>
    <font>
      <b/>
      <sz val="16"/>
      <color indexed="62"/>
      <name val="Trebuchet MS"/>
      <family val="2"/>
    </font>
    <font>
      <b/>
      <sz val="18"/>
      <name val="Verdana"/>
      <family val="2"/>
    </font>
    <font>
      <sz val="10"/>
      <name val="Verdana"/>
      <family val="2"/>
    </font>
    <font>
      <i/>
      <sz val="12"/>
      <name val="Verdana"/>
      <family val="2"/>
    </font>
    <font>
      <b/>
      <sz val="12"/>
      <name val="Verdana"/>
      <family val="2"/>
    </font>
    <font>
      <sz val="12"/>
      <name val="Verdana"/>
      <family val="2"/>
    </font>
    <font>
      <b/>
      <sz val="10"/>
      <name val="Verdana"/>
      <family val="2"/>
    </font>
    <font>
      <sz val="8"/>
      <name val="Verdana"/>
      <family val="2"/>
    </font>
    <font>
      <b/>
      <sz val="16"/>
      <name val="Verdana"/>
      <family val="2"/>
    </font>
    <font>
      <sz val="10"/>
      <color indexed="18"/>
      <name val="Verdana"/>
      <family val="2"/>
    </font>
    <font>
      <b/>
      <sz val="9"/>
      <color indexed="18"/>
      <name val="Verdana"/>
      <family val="2"/>
    </font>
    <font>
      <b/>
      <sz val="8"/>
      <color indexed="18"/>
      <name val="Verdana"/>
      <family val="2"/>
    </font>
    <font>
      <b/>
      <sz val="10"/>
      <color indexed="18"/>
      <name val="Verdana"/>
      <family val="2"/>
    </font>
    <font>
      <b/>
      <sz val="8"/>
      <name val="Verdana"/>
      <family val="2"/>
    </font>
    <font>
      <u/>
      <sz val="10"/>
      <name val="Verdana"/>
      <family val="2"/>
    </font>
    <font>
      <b/>
      <sz val="9"/>
      <color indexed="12"/>
      <name val="Verdana"/>
      <family val="2"/>
    </font>
    <font>
      <b/>
      <sz val="11"/>
      <name val="Verdana"/>
      <family val="2"/>
    </font>
    <font>
      <b/>
      <sz val="9"/>
      <color indexed="81"/>
      <name val="Tahoma"/>
      <family val="2"/>
    </font>
    <font>
      <sz val="10"/>
      <color indexed="62"/>
      <name val="Times New Roman"/>
      <family val="1"/>
    </font>
    <font>
      <u/>
      <sz val="10"/>
      <name val="Times New Roman"/>
      <family val="1"/>
    </font>
    <font>
      <b/>
      <sz val="8"/>
      <color indexed="62"/>
      <name val="Times New Roman"/>
      <family val="1"/>
    </font>
    <font>
      <u/>
      <sz val="8"/>
      <name val="Times New Roman"/>
      <family val="1"/>
    </font>
    <font>
      <sz val="14"/>
      <name val="Verdana"/>
      <family val="2"/>
    </font>
    <font>
      <b/>
      <sz val="14"/>
      <color indexed="62"/>
      <name val="Verdana"/>
      <family val="2"/>
    </font>
    <font>
      <sz val="14"/>
      <name val="Arial"/>
      <family val="2"/>
    </font>
    <font>
      <sz val="10"/>
      <name val="Arial"/>
      <family val="2"/>
    </font>
    <font>
      <sz val="10"/>
      <name val="Arial"/>
      <family val="2"/>
    </font>
    <font>
      <b/>
      <sz val="9"/>
      <name val="Arial"/>
      <family val="2"/>
    </font>
    <font>
      <b/>
      <sz val="11"/>
      <name val="Times New Roman"/>
      <family val="1"/>
    </font>
    <font>
      <b/>
      <u/>
      <sz val="10"/>
      <color indexed="62"/>
      <name val="Times New Roman"/>
      <family val="1"/>
    </font>
    <font>
      <b/>
      <sz val="10"/>
      <color indexed="62"/>
      <name val="Arial"/>
      <family val="2"/>
    </font>
    <font>
      <sz val="11"/>
      <color theme="1"/>
      <name val="Calibri"/>
      <family val="2"/>
      <scheme val="minor"/>
    </font>
    <font>
      <b/>
      <sz val="10"/>
      <color rgb="FF002060"/>
      <name val="Times New Roman"/>
      <family val="1"/>
    </font>
    <font>
      <b/>
      <sz val="10"/>
      <color rgb="FF002060"/>
      <name val="Verdana"/>
      <family val="2"/>
    </font>
    <font>
      <b/>
      <sz val="11"/>
      <name val="Arial"/>
      <family val="2"/>
    </font>
    <font>
      <b/>
      <sz val="9"/>
      <color indexed="81"/>
      <name val="Tahoma"/>
      <charset val="1"/>
    </font>
    <font>
      <b/>
      <sz val="9"/>
      <color theme="0"/>
      <name val="Times New Roman"/>
      <family val="1"/>
    </font>
    <font>
      <sz val="10"/>
      <name val="Arial"/>
    </font>
  </fonts>
  <fills count="31">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indexed="43"/>
        <bgColor indexed="64"/>
      </patternFill>
    </fill>
    <fill>
      <patternFill patternType="solid">
        <fgColor indexed="13"/>
        <bgColor indexed="64"/>
      </patternFill>
    </fill>
    <fill>
      <patternFill patternType="solid">
        <fgColor indexed="22"/>
        <bgColor indexed="64"/>
      </patternFill>
    </fill>
    <fill>
      <patternFill patternType="solid">
        <fgColor indexed="55"/>
        <bgColor indexed="64"/>
      </patternFill>
    </fill>
    <fill>
      <patternFill patternType="solid">
        <fgColor indexed="10"/>
        <bgColor indexed="64"/>
      </patternFill>
    </fill>
    <fill>
      <patternFill patternType="solid">
        <fgColor indexed="51"/>
        <bgColor indexed="64"/>
      </patternFill>
    </fill>
    <fill>
      <patternFill patternType="solid">
        <fgColor indexed="40"/>
        <bgColor indexed="64"/>
      </patternFill>
    </fill>
    <fill>
      <patternFill patternType="solid">
        <fgColor indexed="45"/>
        <bgColor indexed="64"/>
      </patternFill>
    </fill>
    <fill>
      <patternFill patternType="solid">
        <fgColor indexed="50"/>
        <bgColor indexed="64"/>
      </patternFill>
    </fill>
    <fill>
      <patternFill patternType="solid">
        <fgColor theme="4" tint="0.59999389629810485"/>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C000"/>
        <bgColor indexed="64"/>
      </patternFill>
    </fill>
    <fill>
      <patternFill patternType="solid">
        <fgColor theme="6" tint="-0.249977111117893"/>
        <bgColor indexed="64"/>
      </patternFill>
    </fill>
    <fill>
      <patternFill patternType="solid">
        <fgColor rgb="FF00B0F0"/>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666699"/>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AEEAF4"/>
        <bgColor indexed="64"/>
      </patternFill>
    </fill>
    <fill>
      <patternFill patternType="solid">
        <fgColor theme="9" tint="-0.249977111117893"/>
        <bgColor indexed="64"/>
      </patternFill>
    </fill>
    <fill>
      <patternFill patternType="solid">
        <fgColor rgb="FFE684F0"/>
        <bgColor indexed="64"/>
      </patternFill>
    </fill>
  </fills>
  <borders count="119">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ouble">
        <color indexed="64"/>
      </top>
      <bottom style="double">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double">
        <color indexed="64"/>
      </top>
      <bottom style="medium">
        <color indexed="64"/>
      </bottom>
      <diagonal/>
    </border>
    <border>
      <left style="medium">
        <color indexed="64"/>
      </left>
      <right style="medium">
        <color indexed="64"/>
      </right>
      <top style="medium">
        <color indexed="64"/>
      </top>
      <bottom style="double">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medium">
        <color indexed="64"/>
      </right>
      <top style="double">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style="medium">
        <color indexed="64"/>
      </right>
      <top style="double">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double">
        <color indexed="64"/>
      </top>
      <bottom style="medium">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right/>
      <top style="thin">
        <color indexed="64"/>
      </top>
      <bottom style="thin">
        <color indexed="64"/>
      </bottom>
      <diagonal/>
    </border>
    <border>
      <left style="medium">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top style="medium">
        <color indexed="64"/>
      </top>
      <bottom style="double">
        <color indexed="64"/>
      </bottom>
      <diagonal/>
    </border>
    <border>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top/>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thin">
        <color indexed="64"/>
      </right>
      <top style="double">
        <color indexed="64"/>
      </top>
      <bottom/>
      <diagonal/>
    </border>
    <border>
      <left/>
      <right/>
      <top style="double">
        <color indexed="64"/>
      </top>
      <bottom style="double">
        <color indexed="64"/>
      </bottom>
      <diagonal/>
    </border>
    <border>
      <left/>
      <right style="medium">
        <color indexed="64"/>
      </right>
      <top style="medium">
        <color indexed="64"/>
      </top>
      <bottom style="double">
        <color indexed="64"/>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right style="medium">
        <color indexed="64"/>
      </right>
      <top style="double">
        <color indexed="64"/>
      </top>
      <bottom style="double">
        <color indexed="64"/>
      </bottom>
      <diagonal/>
    </border>
    <border>
      <left/>
      <right style="medium">
        <color indexed="64"/>
      </right>
      <top/>
      <bottom style="double">
        <color indexed="64"/>
      </bottom>
      <diagonal/>
    </border>
    <border>
      <left style="medium">
        <color indexed="64"/>
      </left>
      <right/>
      <top style="double">
        <color indexed="64"/>
      </top>
      <bottom style="double">
        <color indexed="64"/>
      </bottom>
      <diagonal/>
    </border>
    <border>
      <left style="medium">
        <color indexed="64"/>
      </left>
      <right style="medium">
        <color indexed="64"/>
      </right>
      <top style="double">
        <color indexed="64"/>
      </top>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s>
  <cellStyleXfs count="58">
    <xf numFmtId="0" fontId="0" fillId="0" borderId="0"/>
    <xf numFmtId="167" fontId="5" fillId="0" borderId="0" applyFont="0" applyFill="0" applyBorder="0" applyAlignment="0" applyProtection="0"/>
    <xf numFmtId="167" fontId="15" fillId="0" borderId="0" applyFont="0" applyFill="0" applyBorder="0" applyAlignment="0" applyProtection="0"/>
    <xf numFmtId="167" fontId="73" fillId="0" borderId="0" applyFont="0" applyFill="0" applyBorder="0" applyAlignment="0" applyProtection="0"/>
    <xf numFmtId="167" fontId="15" fillId="0" borderId="0" applyFont="0" applyFill="0" applyBorder="0" applyAlignment="0" applyProtection="0"/>
    <xf numFmtId="167" fontId="74"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164" fontId="73" fillId="0" borderId="0" applyFont="0" applyFill="0" applyBorder="0" applyAlignment="0" applyProtection="0"/>
    <xf numFmtId="164" fontId="15" fillId="0" borderId="0" applyFont="0" applyFill="0" applyBorder="0" applyAlignment="0" applyProtection="0"/>
    <xf numFmtId="164" fontId="74" fillId="0" borderId="0" applyFont="0" applyFill="0" applyBorder="0" applyAlignment="0" applyProtection="0"/>
    <xf numFmtId="0" fontId="15" fillId="0" borderId="0"/>
    <xf numFmtId="0" fontId="15" fillId="0" borderId="0"/>
    <xf numFmtId="0" fontId="79" fillId="0" borderId="0"/>
    <xf numFmtId="0" fontId="27" fillId="0" borderId="0"/>
    <xf numFmtId="9" fontId="5" fillId="0" borderId="0" applyFont="0" applyFill="0" applyBorder="0" applyAlignment="0" applyProtection="0"/>
    <xf numFmtId="9" fontId="15" fillId="0" borderId="0" applyFont="0" applyFill="0" applyBorder="0" applyAlignment="0" applyProtection="0"/>
    <xf numFmtId="9" fontId="73" fillId="0" borderId="0" applyFont="0" applyFill="0" applyBorder="0" applyAlignment="0" applyProtection="0"/>
    <xf numFmtId="9" fontId="15" fillId="0" borderId="0" applyFont="0" applyFill="0" applyBorder="0" applyAlignment="0" applyProtection="0"/>
    <xf numFmtId="9" fontId="74" fillId="0" borderId="0" applyFont="0" applyFill="0" applyBorder="0" applyAlignment="0" applyProtection="0"/>
    <xf numFmtId="167" fontId="15" fillId="0" borderId="0" applyFont="0" applyFill="0" applyBorder="0" applyAlignment="0" applyProtection="0"/>
    <xf numFmtId="164" fontId="15" fillId="0" borderId="0" applyFont="0" applyFill="0" applyBorder="0" applyAlignment="0" applyProtection="0"/>
    <xf numFmtId="0" fontId="4" fillId="0" borderId="0"/>
    <xf numFmtId="9" fontId="15" fillId="0" borderId="0" applyFont="0" applyFill="0" applyBorder="0" applyAlignment="0" applyProtection="0"/>
    <xf numFmtId="0" fontId="3" fillId="0" borderId="0"/>
    <xf numFmtId="0" fontId="5" fillId="0" borderId="0"/>
    <xf numFmtId="164" fontId="5" fillId="0" borderId="0" applyFont="0" applyFill="0" applyBorder="0" applyAlignment="0" applyProtection="0"/>
    <xf numFmtId="0" fontId="3" fillId="0" borderId="0"/>
    <xf numFmtId="9"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0" fontId="2"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164" fontId="5" fillId="0" borderId="0" applyFont="0" applyFill="0" applyBorder="0" applyAlignment="0" applyProtection="0"/>
    <xf numFmtId="0" fontId="2" fillId="0" borderId="0"/>
    <xf numFmtId="9" fontId="5" fillId="0" borderId="0" applyFont="0" applyFill="0" applyBorder="0" applyAlignment="0" applyProtection="0"/>
    <xf numFmtId="0" fontId="2" fillId="0" borderId="0"/>
    <xf numFmtId="0" fontId="2" fillId="0" borderId="0"/>
    <xf numFmtId="0" fontId="1" fillId="0" borderId="0"/>
    <xf numFmtId="0" fontId="85" fillId="0" borderId="0"/>
    <xf numFmtId="164" fontId="5" fillId="0" borderId="0" applyFont="0" applyFill="0" applyBorder="0" applyAlignment="0" applyProtection="0"/>
    <xf numFmtId="0" fontId="1" fillId="0" borderId="0"/>
    <xf numFmtId="9" fontId="5" fillId="0" borderId="0" applyFont="0" applyFill="0" applyBorder="0" applyAlignment="0" applyProtection="0"/>
    <xf numFmtId="0" fontId="1" fillId="0" borderId="0"/>
    <xf numFmtId="0" fontId="1" fillId="0" borderId="0"/>
    <xf numFmtId="0" fontId="1" fillId="0" borderId="0"/>
  </cellStyleXfs>
  <cellXfs count="1559">
    <xf numFmtId="0" fontId="0" fillId="0" borderId="0" xfId="0"/>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49" fontId="8" fillId="0" borderId="5" xfId="0" applyNumberFormat="1" applyFont="1" applyBorder="1" applyAlignment="1" applyProtection="1">
      <alignment horizontal="left" vertical="top" wrapText="1"/>
      <protection locked="0"/>
    </xf>
    <xf numFmtId="0" fontId="10" fillId="0" borderId="6" xfId="0" applyFont="1" applyBorder="1" applyAlignment="1">
      <alignment horizontal="justify" vertical="top" wrapText="1"/>
    </xf>
    <xf numFmtId="0" fontId="0" fillId="0" borderId="0" xfId="0" applyProtection="1">
      <protection locked="0"/>
    </xf>
    <xf numFmtId="0" fontId="8" fillId="2" borderId="8" xfId="0" applyFont="1" applyFill="1" applyBorder="1" applyAlignment="1" applyProtection="1">
      <alignment horizontal="center" vertical="center" wrapText="1"/>
      <protection locked="0"/>
    </xf>
    <xf numFmtId="0" fontId="8" fillId="2" borderId="9" xfId="0" applyFont="1" applyFill="1" applyBorder="1" applyAlignment="1" applyProtection="1">
      <alignment horizontal="center" vertical="center" wrapText="1"/>
      <protection locked="0"/>
    </xf>
    <xf numFmtId="0" fontId="8" fillId="2" borderId="10" xfId="0" applyFont="1" applyFill="1" applyBorder="1" applyAlignment="1" applyProtection="1">
      <alignment horizontal="center" vertical="center" wrapText="1"/>
      <protection locked="0"/>
    </xf>
    <xf numFmtId="0" fontId="8" fillId="2" borderId="11" xfId="0" applyFont="1" applyFill="1" applyBorder="1" applyAlignment="1" applyProtection="1">
      <alignment horizontal="center" vertical="center" wrapText="1"/>
      <protection locked="0"/>
    </xf>
    <xf numFmtId="49" fontId="13" fillId="0" borderId="12" xfId="0" applyNumberFormat="1" applyFont="1" applyBorder="1" applyAlignment="1" applyProtection="1">
      <alignment horizontal="center" vertical="top" wrapText="1"/>
      <protection locked="0"/>
    </xf>
    <xf numFmtId="49" fontId="13" fillId="0" borderId="13" xfId="0" applyNumberFormat="1" applyFont="1" applyBorder="1" applyAlignment="1" applyProtection="1">
      <alignment horizontal="center" vertical="top" wrapText="1"/>
      <protection locked="0"/>
    </xf>
    <xf numFmtId="49" fontId="13" fillId="0" borderId="13" xfId="0" applyNumberFormat="1" applyFont="1" applyBorder="1" applyAlignment="1" applyProtection="1">
      <alignment horizontal="left" vertical="top" wrapText="1"/>
      <protection locked="0"/>
    </xf>
    <xf numFmtId="49" fontId="13" fillId="0" borderId="14" xfId="0" applyNumberFormat="1" applyFont="1" applyBorder="1" applyAlignment="1" applyProtection="1">
      <alignment horizontal="center" vertical="top" wrapText="1"/>
      <protection locked="0"/>
    </xf>
    <xf numFmtId="49" fontId="18" fillId="0" borderId="15" xfId="0" applyNumberFormat="1" applyFont="1" applyBorder="1" applyProtection="1">
      <protection locked="0"/>
    </xf>
    <xf numFmtId="49" fontId="18" fillId="0" borderId="13" xfId="0" applyNumberFormat="1" applyFont="1" applyBorder="1" applyProtection="1">
      <protection locked="0"/>
    </xf>
    <xf numFmtId="49" fontId="18" fillId="0" borderId="14" xfId="0" applyNumberFormat="1" applyFont="1" applyBorder="1" applyProtection="1">
      <protection locked="0"/>
    </xf>
    <xf numFmtId="0" fontId="10" fillId="0" borderId="16" xfId="0" applyFont="1" applyBorder="1" applyAlignment="1" applyProtection="1">
      <alignment horizontal="justify" vertical="top" wrapText="1"/>
      <protection locked="0"/>
    </xf>
    <xf numFmtId="49" fontId="8" fillId="0" borderId="5" xfId="0" applyNumberFormat="1" applyFont="1" applyBorder="1" applyAlignment="1" applyProtection="1">
      <alignment horizontal="center" vertical="top" wrapText="1"/>
      <protection locked="0"/>
    </xf>
    <xf numFmtId="49" fontId="10" fillId="0" borderId="17" xfId="0" applyNumberFormat="1" applyFont="1" applyBorder="1" applyAlignment="1" applyProtection="1">
      <alignment horizontal="left" vertical="top" wrapText="1"/>
      <protection locked="0"/>
    </xf>
    <xf numFmtId="49" fontId="8" fillId="0" borderId="16" xfId="0" applyNumberFormat="1" applyFont="1" applyBorder="1" applyAlignment="1" applyProtection="1">
      <alignment horizontal="center" vertical="top" wrapText="1"/>
      <protection locked="0"/>
    </xf>
    <xf numFmtId="49" fontId="6" fillId="0" borderId="18" xfId="0" applyNumberFormat="1" applyFont="1" applyBorder="1" applyAlignment="1" applyProtection="1">
      <alignment horizontal="center" vertical="top" wrapText="1"/>
      <protection locked="0"/>
    </xf>
    <xf numFmtId="49" fontId="18" fillId="0" borderId="19" xfId="0" applyNumberFormat="1" applyFont="1" applyBorder="1" applyProtection="1">
      <protection locked="0"/>
    </xf>
    <xf numFmtId="49" fontId="18" fillId="0" borderId="5" xfId="0" applyNumberFormat="1" applyFont="1" applyBorder="1" applyProtection="1">
      <protection locked="0"/>
    </xf>
    <xf numFmtId="49" fontId="18" fillId="0" borderId="18" xfId="0" applyNumberFormat="1" applyFont="1" applyBorder="1" applyProtection="1">
      <protection locked="0"/>
    </xf>
    <xf numFmtId="49" fontId="8" fillId="0" borderId="18" xfId="0" applyNumberFormat="1" applyFont="1" applyBorder="1" applyAlignment="1" applyProtection="1">
      <alignment horizontal="center" vertical="top" wrapText="1"/>
      <protection locked="0"/>
    </xf>
    <xf numFmtId="0" fontId="0" fillId="0" borderId="18" xfId="0" applyBorder="1" applyProtection="1">
      <protection locked="0"/>
    </xf>
    <xf numFmtId="49" fontId="18" fillId="0" borderId="20" xfId="0" applyNumberFormat="1" applyFont="1" applyBorder="1" applyProtection="1">
      <protection locked="0"/>
    </xf>
    <xf numFmtId="49" fontId="18" fillId="0" borderId="21" xfId="0" applyNumberFormat="1" applyFont="1" applyBorder="1" applyProtection="1">
      <protection locked="0"/>
    </xf>
    <xf numFmtId="0" fontId="0" fillId="0" borderId="0" xfId="0" applyAlignment="1" applyProtection="1">
      <alignment horizontal="left"/>
      <protection locked="0"/>
    </xf>
    <xf numFmtId="0" fontId="12" fillId="0" borderId="0" xfId="0" applyFont="1" applyProtection="1">
      <protection locked="0"/>
    </xf>
    <xf numFmtId="0" fontId="0" fillId="0" borderId="22" xfId="0" applyBorder="1" applyAlignment="1" applyProtection="1">
      <alignment horizontal="center"/>
      <protection locked="0"/>
    </xf>
    <xf numFmtId="0" fontId="0" fillId="0" borderId="23" xfId="0" applyBorder="1" applyAlignment="1" applyProtection="1">
      <alignment horizontal="center"/>
      <protection locked="0"/>
    </xf>
    <xf numFmtId="0" fontId="0" fillId="0" borderId="23" xfId="0" applyBorder="1" applyAlignment="1" applyProtection="1">
      <alignment horizontal="left"/>
      <protection locked="0"/>
    </xf>
    <xf numFmtId="0" fontId="0" fillId="0" borderId="24" xfId="0" applyBorder="1" applyAlignment="1" applyProtection="1">
      <alignment horizontal="center"/>
      <protection locked="0"/>
    </xf>
    <xf numFmtId="0" fontId="0" fillId="0" borderId="25" xfId="0" applyBorder="1" applyAlignment="1" applyProtection="1">
      <alignment horizontal="left"/>
      <protection locked="0"/>
    </xf>
    <xf numFmtId="0" fontId="0" fillId="0" borderId="26" xfId="0" applyBorder="1" applyProtection="1">
      <protection locked="0"/>
    </xf>
    <xf numFmtId="0" fontId="0" fillId="0" borderId="26" xfId="0" applyBorder="1" applyAlignment="1" applyProtection="1">
      <alignment horizontal="left"/>
      <protection locked="0"/>
    </xf>
    <xf numFmtId="0" fontId="0" fillId="0" borderId="1" xfId="0" applyBorder="1" applyProtection="1">
      <protection locked="0"/>
    </xf>
    <xf numFmtId="0" fontId="0" fillId="0" borderId="27" xfId="0" applyBorder="1" applyAlignment="1" applyProtection="1">
      <alignment horizontal="left"/>
      <protection locked="0"/>
    </xf>
    <xf numFmtId="0" fontId="0" fillId="0" borderId="2" xfId="0" applyBorder="1" applyProtection="1">
      <protection locked="0"/>
    </xf>
    <xf numFmtId="0" fontId="0" fillId="0" borderId="28" xfId="0" applyBorder="1" applyAlignment="1" applyProtection="1">
      <alignment horizontal="left"/>
      <protection locked="0"/>
    </xf>
    <xf numFmtId="0" fontId="0" fillId="0" borderId="3" xfId="0" applyBorder="1" applyProtection="1">
      <protection locked="0"/>
    </xf>
    <xf numFmtId="0" fontId="0" fillId="0" borderId="3" xfId="0" applyBorder="1" applyAlignment="1" applyProtection="1">
      <alignment horizontal="left"/>
      <protection locked="0"/>
    </xf>
    <xf numFmtId="0" fontId="0" fillId="0" borderId="4" xfId="0" applyBorder="1" applyProtection="1">
      <protection locked="0"/>
    </xf>
    <xf numFmtId="49" fontId="18" fillId="0" borderId="12" xfId="0" applyNumberFormat="1" applyFont="1" applyBorder="1" applyProtection="1">
      <protection locked="0"/>
    </xf>
    <xf numFmtId="49" fontId="18" fillId="0" borderId="16" xfId="0" applyNumberFormat="1" applyFont="1" applyBorder="1" applyProtection="1">
      <protection locked="0"/>
    </xf>
    <xf numFmtId="49" fontId="18" fillId="0" borderId="29" xfId="0" applyNumberFormat="1" applyFont="1" applyBorder="1" applyProtection="1">
      <protection locked="0"/>
    </xf>
    <xf numFmtId="49" fontId="18" fillId="0" borderId="30" xfId="0" applyNumberFormat="1" applyFont="1" applyBorder="1" applyProtection="1">
      <protection locked="0"/>
    </xf>
    <xf numFmtId="49" fontId="18" fillId="0" borderId="17" xfId="0" applyNumberFormat="1" applyFont="1" applyBorder="1" applyProtection="1">
      <protection locked="0"/>
    </xf>
    <xf numFmtId="0" fontId="8" fillId="2" borderId="29" xfId="0" applyFont="1" applyFill="1" applyBorder="1" applyAlignment="1" applyProtection="1">
      <alignment horizontal="center" vertical="center" wrapText="1"/>
      <protection locked="0"/>
    </xf>
    <xf numFmtId="0" fontId="8" fillId="2" borderId="21"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wrapText="1"/>
      <protection locked="0"/>
    </xf>
    <xf numFmtId="49" fontId="18" fillId="0" borderId="33" xfId="0" applyNumberFormat="1" applyFont="1" applyBorder="1" applyProtection="1">
      <protection locked="0"/>
    </xf>
    <xf numFmtId="49" fontId="18" fillId="0" borderId="34" xfId="0" applyNumberFormat="1" applyFont="1" applyBorder="1" applyProtection="1">
      <protection locked="0"/>
    </xf>
    <xf numFmtId="49" fontId="18" fillId="0" borderId="35" xfId="0" applyNumberFormat="1" applyFont="1" applyBorder="1" applyProtection="1">
      <protection locked="0"/>
    </xf>
    <xf numFmtId="49" fontId="18" fillId="0" borderId="36" xfId="0" applyNumberFormat="1" applyFont="1" applyBorder="1" applyProtection="1">
      <protection locked="0"/>
    </xf>
    <xf numFmtId="49" fontId="18" fillId="0" borderId="37" xfId="0" applyNumberFormat="1" applyFont="1" applyBorder="1" applyProtection="1">
      <protection locked="0"/>
    </xf>
    <xf numFmtId="49" fontId="18" fillId="0" borderId="38" xfId="0" applyNumberFormat="1" applyFont="1" applyBorder="1" applyProtection="1">
      <protection locked="0"/>
    </xf>
    <xf numFmtId="49" fontId="18" fillId="0" borderId="39" xfId="0" applyNumberFormat="1" applyFont="1" applyBorder="1" applyProtection="1">
      <protection locked="0"/>
    </xf>
    <xf numFmtId="49" fontId="18" fillId="0" borderId="6" xfId="0" applyNumberFormat="1" applyFont="1" applyBorder="1" applyProtection="1">
      <protection locked="0"/>
    </xf>
    <xf numFmtId="0" fontId="17" fillId="0" borderId="40" xfId="0" applyFont="1" applyBorder="1" applyProtection="1">
      <protection locked="0"/>
    </xf>
    <xf numFmtId="0" fontId="8" fillId="2" borderId="8" xfId="0" applyFont="1" applyFill="1" applyBorder="1" applyAlignment="1" applyProtection="1">
      <alignment horizontal="center" vertical="center" textRotation="90" wrapText="1"/>
      <protection locked="0"/>
    </xf>
    <xf numFmtId="0" fontId="8" fillId="2" borderId="9" xfId="0" applyFont="1" applyFill="1" applyBorder="1" applyAlignment="1" applyProtection="1">
      <alignment horizontal="center" vertical="center" textRotation="90" wrapText="1"/>
      <protection locked="0"/>
    </xf>
    <xf numFmtId="0" fontId="25" fillId="0" borderId="0" xfId="0" applyFont="1"/>
    <xf numFmtId="0" fontId="29" fillId="2" borderId="41" xfId="0" applyFont="1" applyFill="1" applyBorder="1" applyAlignment="1">
      <alignment horizontal="center" vertical="center"/>
    </xf>
    <xf numFmtId="0" fontId="28" fillId="0" borderId="6" xfId="0" applyFont="1" applyBorder="1" applyAlignment="1">
      <alignment horizontal="justify" vertical="top" wrapText="1"/>
    </xf>
    <xf numFmtId="0" fontId="31" fillId="0" borderId="0" xfId="14" applyFont="1" applyAlignment="1">
      <alignment horizontal="left" vertical="center" wrapText="1"/>
    </xf>
    <xf numFmtId="3" fontId="26" fillId="3" borderId="42" xfId="6" applyNumberFormat="1" applyFont="1" applyFill="1" applyBorder="1" applyAlignment="1">
      <alignment horizontal="right"/>
    </xf>
    <xf numFmtId="0" fontId="31" fillId="0" borderId="0" xfId="14" applyFont="1" applyAlignment="1">
      <alignment horizontal="left" vertical="center"/>
    </xf>
    <xf numFmtId="0" fontId="11" fillId="4" borderId="8" xfId="0" applyFont="1" applyFill="1" applyBorder="1" applyAlignment="1" applyProtection="1">
      <alignment horizontal="right" vertical="top" wrapText="1"/>
      <protection locked="0"/>
    </xf>
    <xf numFmtId="49" fontId="22" fillId="4" borderId="9" xfId="0" applyNumberFormat="1" applyFont="1" applyFill="1" applyBorder="1" applyAlignment="1" applyProtection="1">
      <alignment horizontal="center" vertical="top" wrapText="1"/>
      <protection locked="0"/>
    </xf>
    <xf numFmtId="49" fontId="11" fillId="4" borderId="10" xfId="0" applyNumberFormat="1" applyFont="1" applyFill="1" applyBorder="1" applyAlignment="1" applyProtection="1">
      <alignment horizontal="left" vertical="top" wrapText="1"/>
      <protection locked="0"/>
    </xf>
    <xf numFmtId="49" fontId="6" fillId="4" borderId="8" xfId="0" applyNumberFormat="1" applyFont="1" applyFill="1" applyBorder="1" applyAlignment="1" applyProtection="1">
      <alignment horizontal="center" vertical="top" wrapText="1"/>
      <protection locked="0"/>
    </xf>
    <xf numFmtId="49" fontId="6" fillId="4" borderId="9" xfId="0" applyNumberFormat="1" applyFont="1" applyFill="1" applyBorder="1" applyAlignment="1" applyProtection="1">
      <alignment horizontal="center" vertical="top" wrapText="1"/>
      <protection locked="0"/>
    </xf>
    <xf numFmtId="49" fontId="6" fillId="4" borderId="9" xfId="0" applyNumberFormat="1" applyFont="1" applyFill="1" applyBorder="1" applyAlignment="1" applyProtection="1">
      <alignment horizontal="left" vertical="top" wrapText="1"/>
      <protection locked="0"/>
    </xf>
    <xf numFmtId="49" fontId="6" fillId="4" borderId="11" xfId="0" applyNumberFormat="1" applyFont="1" applyFill="1" applyBorder="1" applyAlignment="1" applyProtection="1">
      <alignment horizontal="center" vertical="top" wrapText="1"/>
      <protection locked="0"/>
    </xf>
    <xf numFmtId="49" fontId="18" fillId="4" borderId="32" xfId="0" applyNumberFormat="1" applyFont="1" applyFill="1" applyBorder="1" applyProtection="1">
      <protection locked="0"/>
    </xf>
    <xf numFmtId="49" fontId="9" fillId="4" borderId="13" xfId="0" applyNumberFormat="1" applyFont="1" applyFill="1" applyBorder="1" applyAlignment="1" applyProtection="1">
      <alignment horizontal="center" vertical="top" wrapText="1"/>
      <protection locked="0"/>
    </xf>
    <xf numFmtId="49" fontId="9" fillId="4" borderId="30" xfId="0" applyNumberFormat="1" applyFont="1" applyFill="1" applyBorder="1" applyAlignment="1" applyProtection="1">
      <alignment horizontal="left" vertical="top" wrapText="1"/>
      <protection locked="0"/>
    </xf>
    <xf numFmtId="49" fontId="13" fillId="4" borderId="12" xfId="0" applyNumberFormat="1" applyFont="1" applyFill="1" applyBorder="1" applyAlignment="1" applyProtection="1">
      <alignment horizontal="center" vertical="top" wrapText="1"/>
      <protection locked="0"/>
    </xf>
    <xf numFmtId="49" fontId="13" fillId="4" borderId="13" xfId="0" applyNumberFormat="1" applyFont="1" applyFill="1" applyBorder="1" applyAlignment="1" applyProtection="1">
      <alignment horizontal="center" vertical="top" wrapText="1"/>
      <protection locked="0"/>
    </xf>
    <xf numFmtId="49" fontId="13" fillId="4" borderId="13" xfId="0" applyNumberFormat="1" applyFont="1" applyFill="1" applyBorder="1" applyAlignment="1" applyProtection="1">
      <alignment horizontal="left" vertical="top" wrapText="1"/>
      <protection locked="0"/>
    </xf>
    <xf numFmtId="49" fontId="13" fillId="4" borderId="14" xfId="0" applyNumberFormat="1" applyFont="1" applyFill="1" applyBorder="1" applyAlignment="1" applyProtection="1">
      <alignment horizontal="center" vertical="top" wrapText="1"/>
      <protection locked="0"/>
    </xf>
    <xf numFmtId="49" fontId="18" fillId="4" borderId="15" xfId="0" applyNumberFormat="1" applyFont="1" applyFill="1" applyBorder="1" applyProtection="1">
      <protection locked="0"/>
    </xf>
    <xf numFmtId="0" fontId="7" fillId="4" borderId="29" xfId="0" applyFont="1" applyFill="1" applyBorder="1" applyAlignment="1" applyProtection="1">
      <alignment horizontal="justify" vertical="top" wrapText="1"/>
      <protection locked="0"/>
    </xf>
    <xf numFmtId="49" fontId="6" fillId="4" borderId="21" xfId="0" applyNumberFormat="1" applyFont="1" applyFill="1" applyBorder="1" applyAlignment="1" applyProtection="1">
      <alignment horizontal="center" vertical="top" wrapText="1"/>
      <protection locked="0"/>
    </xf>
    <xf numFmtId="49" fontId="8" fillId="4" borderId="43" xfId="0" applyNumberFormat="1" applyFont="1" applyFill="1" applyBorder="1" applyAlignment="1" applyProtection="1">
      <alignment horizontal="left" vertical="top" wrapText="1"/>
      <protection locked="0"/>
    </xf>
    <xf numFmtId="49" fontId="6" fillId="4" borderId="29" xfId="0" applyNumberFormat="1" applyFont="1" applyFill="1" applyBorder="1" applyAlignment="1" applyProtection="1">
      <alignment horizontal="center" vertical="top" wrapText="1"/>
      <protection locked="0"/>
    </xf>
    <xf numFmtId="49" fontId="6" fillId="4" borderId="21" xfId="0" applyNumberFormat="1" applyFont="1" applyFill="1" applyBorder="1" applyAlignment="1" applyProtection="1">
      <alignment horizontal="left" vertical="top" wrapText="1"/>
      <protection locked="0"/>
    </xf>
    <xf numFmtId="49" fontId="6" fillId="4" borderId="31" xfId="0" applyNumberFormat="1" applyFont="1" applyFill="1" applyBorder="1" applyAlignment="1" applyProtection="1">
      <alignment horizontal="center" vertical="top" wrapText="1"/>
      <protection locked="0"/>
    </xf>
    <xf numFmtId="49" fontId="0" fillId="0" borderId="0" xfId="0" applyNumberFormat="1"/>
    <xf numFmtId="0" fontId="8" fillId="2" borderId="43" xfId="0" applyFont="1" applyFill="1" applyBorder="1" applyAlignment="1" applyProtection="1">
      <alignment horizontal="center" vertical="center" wrapText="1"/>
      <protection locked="0"/>
    </xf>
    <xf numFmtId="0" fontId="28" fillId="2" borderId="8"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1" xfId="0" applyFont="1" applyFill="1" applyBorder="1" applyAlignment="1">
      <alignment horizontal="center" vertical="center" wrapText="1"/>
    </xf>
    <xf numFmtId="165" fontId="0" fillId="0" borderId="38" xfId="0" applyNumberFormat="1" applyBorder="1" applyAlignment="1">
      <alignment horizontal="right"/>
    </xf>
    <xf numFmtId="165" fontId="0" fillId="0" borderId="33" xfId="0" applyNumberFormat="1" applyBorder="1" applyAlignment="1">
      <alignment horizontal="right"/>
    </xf>
    <xf numFmtId="165" fontId="0" fillId="0" borderId="39" xfId="0" applyNumberFormat="1" applyBorder="1" applyAlignment="1">
      <alignment horizontal="right"/>
    </xf>
    <xf numFmtId="165" fontId="18" fillId="0" borderId="44" xfId="0" applyNumberFormat="1" applyFont="1" applyBorder="1" applyProtection="1">
      <protection locked="0"/>
    </xf>
    <xf numFmtId="165" fontId="18" fillId="0" borderId="30" xfId="0" applyNumberFormat="1" applyFont="1" applyBorder="1" applyProtection="1">
      <protection locked="0"/>
    </xf>
    <xf numFmtId="165" fontId="18" fillId="0" borderId="14" xfId="0" applyNumberFormat="1" applyFont="1" applyBorder="1" applyProtection="1">
      <protection locked="0"/>
    </xf>
    <xf numFmtId="49" fontId="18" fillId="4" borderId="9" xfId="0" applyNumberFormat="1" applyFont="1" applyFill="1" applyBorder="1" applyProtection="1">
      <protection locked="0"/>
    </xf>
    <xf numFmtId="49" fontId="18" fillId="4" borderId="8" xfId="0" applyNumberFormat="1" applyFont="1" applyFill="1" applyBorder="1" applyProtection="1">
      <protection locked="0"/>
    </xf>
    <xf numFmtId="49" fontId="18" fillId="4" borderId="11" xfId="0" applyNumberFormat="1" applyFont="1" applyFill="1" applyBorder="1" applyProtection="1">
      <protection locked="0"/>
    </xf>
    <xf numFmtId="49" fontId="18" fillId="4" borderId="41" xfId="0" applyNumberFormat="1" applyFont="1" applyFill="1" applyBorder="1" applyProtection="1">
      <protection locked="0"/>
    </xf>
    <xf numFmtId="49" fontId="18" fillId="4" borderId="10" xfId="0" applyNumberFormat="1" applyFont="1" applyFill="1" applyBorder="1" applyProtection="1">
      <protection locked="0"/>
    </xf>
    <xf numFmtId="165" fontId="0" fillId="4" borderId="38" xfId="0" applyNumberFormat="1" applyFill="1" applyBorder="1" applyAlignment="1">
      <alignment horizontal="right"/>
    </xf>
    <xf numFmtId="165" fontId="0" fillId="4" borderId="33" xfId="0" applyNumberFormat="1" applyFill="1" applyBorder="1" applyAlignment="1">
      <alignment horizontal="right"/>
    </xf>
    <xf numFmtId="165" fontId="0" fillId="4" borderId="39" xfId="0" applyNumberFormat="1" applyFill="1" applyBorder="1" applyAlignment="1">
      <alignment horizontal="right"/>
    </xf>
    <xf numFmtId="49" fontId="18" fillId="4" borderId="21" xfId="0" applyNumberFormat="1" applyFont="1" applyFill="1" applyBorder="1" applyProtection="1">
      <protection locked="0"/>
    </xf>
    <xf numFmtId="49" fontId="18" fillId="4" borderId="43" xfId="0" applyNumberFormat="1" applyFont="1" applyFill="1" applyBorder="1" applyProtection="1">
      <protection locked="0"/>
    </xf>
    <xf numFmtId="49" fontId="18" fillId="4" borderId="46" xfId="0" applyNumberFormat="1" applyFont="1" applyFill="1" applyBorder="1" applyProtection="1">
      <protection locked="0"/>
    </xf>
    <xf numFmtId="165" fontId="18" fillId="4" borderId="22" xfId="0" applyNumberFormat="1" applyFont="1" applyFill="1" applyBorder="1" applyProtection="1">
      <protection locked="0"/>
    </xf>
    <xf numFmtId="165" fontId="18" fillId="4" borderId="43" xfId="0" applyNumberFormat="1" applyFont="1" applyFill="1" applyBorder="1" applyProtection="1">
      <protection locked="0"/>
    </xf>
    <xf numFmtId="165" fontId="18" fillId="4" borderId="31" xfId="0" applyNumberFormat="1" applyFont="1" applyFill="1" applyBorder="1" applyProtection="1">
      <protection locked="0"/>
    </xf>
    <xf numFmtId="0" fontId="18" fillId="0" borderId="0" xfId="0" applyFont="1"/>
    <xf numFmtId="0" fontId="8" fillId="2" borderId="10" xfId="0" applyFont="1" applyFill="1" applyBorder="1" applyAlignment="1" applyProtection="1">
      <alignment horizontal="center" vertical="center" textRotation="90" wrapText="1"/>
      <protection locked="0"/>
    </xf>
    <xf numFmtId="0" fontId="8" fillId="2" borderId="11" xfId="0" applyFont="1" applyFill="1" applyBorder="1" applyAlignment="1" applyProtection="1">
      <alignment horizontal="center" vertical="center" textRotation="90" wrapText="1"/>
      <protection locked="0"/>
    </xf>
    <xf numFmtId="1" fontId="0" fillId="0" borderId="12" xfId="0" applyNumberFormat="1" applyBorder="1" applyAlignment="1">
      <alignment horizontal="right"/>
    </xf>
    <xf numFmtId="1" fontId="0" fillId="0" borderId="13" xfId="0" applyNumberFormat="1" applyBorder="1" applyAlignment="1">
      <alignment horizontal="right"/>
    </xf>
    <xf numFmtId="1" fontId="0" fillId="0" borderId="18" xfId="0" applyNumberFormat="1" applyBorder="1" applyAlignment="1">
      <alignment horizontal="right"/>
    </xf>
    <xf numFmtId="1" fontId="0" fillId="0" borderId="38" xfId="0" applyNumberFormat="1" applyBorder="1" applyAlignment="1">
      <alignment horizontal="right"/>
    </xf>
    <xf numFmtId="1" fontId="0" fillId="0" borderId="33" xfId="0" applyNumberFormat="1" applyBorder="1" applyAlignment="1">
      <alignment horizontal="right"/>
    </xf>
    <xf numFmtId="1" fontId="0" fillId="0" borderId="16" xfId="0" applyNumberFormat="1" applyBorder="1" applyAlignment="1">
      <alignment horizontal="right"/>
    </xf>
    <xf numFmtId="1" fontId="0" fillId="0" borderId="5" xfId="0" applyNumberFormat="1" applyBorder="1" applyAlignment="1">
      <alignment horizontal="right"/>
    </xf>
    <xf numFmtId="1" fontId="18" fillId="4" borderId="45" xfId="0" applyNumberFormat="1" applyFont="1" applyFill="1" applyBorder="1" applyProtection="1">
      <protection locked="0"/>
    </xf>
    <xf numFmtId="1" fontId="18" fillId="4" borderId="10" xfId="0" applyNumberFormat="1" applyFont="1" applyFill="1" applyBorder="1" applyProtection="1">
      <protection locked="0"/>
    </xf>
    <xf numFmtId="1" fontId="18" fillId="4" borderId="11" xfId="0" applyNumberFormat="1" applyFont="1" applyFill="1" applyBorder="1" applyProtection="1">
      <protection locked="0"/>
    </xf>
    <xf numFmtId="1" fontId="18" fillId="4" borderId="29" xfId="0" applyNumberFormat="1" applyFont="1" applyFill="1" applyBorder="1" applyProtection="1">
      <protection locked="0"/>
    </xf>
    <xf numFmtId="1" fontId="18" fillId="4" borderId="21" xfId="0" applyNumberFormat="1" applyFont="1" applyFill="1" applyBorder="1" applyProtection="1">
      <protection locked="0"/>
    </xf>
    <xf numFmtId="1" fontId="18" fillId="4" borderId="31" xfId="0" applyNumberFormat="1" applyFont="1" applyFill="1" applyBorder="1" applyProtection="1">
      <protection locked="0"/>
    </xf>
    <xf numFmtId="49" fontId="33" fillId="0" borderId="18" xfId="0" applyNumberFormat="1" applyFont="1" applyBorder="1" applyAlignment="1" applyProtection="1">
      <alignment horizontal="center" vertical="top" wrapText="1"/>
      <protection locked="0"/>
    </xf>
    <xf numFmtId="49" fontId="9" fillId="5" borderId="13" xfId="0" applyNumberFormat="1" applyFont="1" applyFill="1" applyBorder="1" applyAlignment="1" applyProtection="1">
      <alignment horizontal="center" vertical="top" wrapText="1"/>
      <protection locked="0"/>
    </xf>
    <xf numFmtId="49" fontId="9" fillId="5" borderId="30" xfId="0" applyNumberFormat="1" applyFont="1" applyFill="1" applyBorder="1" applyAlignment="1" applyProtection="1">
      <alignment horizontal="left" vertical="top" wrapText="1"/>
      <protection locked="0"/>
    </xf>
    <xf numFmtId="1" fontId="18" fillId="4" borderId="41" xfId="0" applyNumberFormat="1" applyFont="1" applyFill="1" applyBorder="1" applyProtection="1">
      <protection locked="0"/>
    </xf>
    <xf numFmtId="4" fontId="0" fillId="0" borderId="5" xfId="0" applyNumberFormat="1" applyBorder="1" applyAlignment="1">
      <alignment horizontal="right" shrinkToFit="1"/>
    </xf>
    <xf numFmtId="3" fontId="0" fillId="0" borderId="38" xfId="0" applyNumberFormat="1" applyBorder="1" applyAlignment="1">
      <alignment horizontal="right" shrinkToFit="1"/>
    </xf>
    <xf numFmtId="3" fontId="0" fillId="0" borderId="16" xfId="0" applyNumberFormat="1" applyBorder="1" applyAlignment="1">
      <alignment horizontal="right" shrinkToFit="1"/>
    </xf>
    <xf numFmtId="3" fontId="0" fillId="0" borderId="5" xfId="0" applyNumberFormat="1" applyBorder="1" applyAlignment="1">
      <alignment horizontal="right" shrinkToFit="1"/>
    </xf>
    <xf numFmtId="3" fontId="0" fillId="0" borderId="19" xfId="0" applyNumberFormat="1" applyBorder="1" applyAlignment="1">
      <alignment horizontal="right" shrinkToFit="1"/>
    </xf>
    <xf numFmtId="0" fontId="34" fillId="0" borderId="0" xfId="0" applyFont="1" applyAlignment="1">
      <alignment vertical="top" wrapText="1"/>
    </xf>
    <xf numFmtId="0" fontId="18" fillId="0" borderId="16" xfId="0" applyFont="1" applyBorder="1" applyProtection="1">
      <protection locked="0"/>
    </xf>
    <xf numFmtId="49" fontId="18" fillId="0" borderId="38" xfId="0" applyNumberFormat="1" applyFont="1" applyBorder="1" applyAlignment="1" applyProtection="1">
      <alignment wrapText="1"/>
      <protection locked="0"/>
    </xf>
    <xf numFmtId="49" fontId="23" fillId="0" borderId="38" xfId="0" applyNumberFormat="1" applyFont="1" applyBorder="1" applyAlignment="1" applyProtection="1">
      <alignment wrapText="1"/>
      <protection locked="0"/>
    </xf>
    <xf numFmtId="10" fontId="0" fillId="0" borderId="18" xfId="0" applyNumberFormat="1" applyBorder="1" applyAlignment="1">
      <alignment horizontal="right" shrinkToFit="1"/>
    </xf>
    <xf numFmtId="2" fontId="18" fillId="4" borderId="41" xfId="0" applyNumberFormat="1" applyFont="1" applyFill="1" applyBorder="1" applyProtection="1">
      <protection locked="0"/>
    </xf>
    <xf numFmtId="2" fontId="18" fillId="0" borderId="36" xfId="0" applyNumberFormat="1" applyFont="1" applyBorder="1" applyProtection="1">
      <protection locked="0"/>
    </xf>
    <xf numFmtId="2" fontId="18" fillId="4" borderId="46" xfId="0" applyNumberFormat="1" applyFont="1" applyFill="1" applyBorder="1" applyProtection="1">
      <protection locked="0"/>
    </xf>
    <xf numFmtId="1" fontId="18" fillId="0" borderId="6" xfId="0" applyNumberFormat="1" applyFont="1" applyBorder="1" applyProtection="1">
      <protection locked="0"/>
    </xf>
    <xf numFmtId="1" fontId="18" fillId="0" borderId="35" xfId="0" applyNumberFormat="1" applyFont="1" applyBorder="1" applyProtection="1">
      <protection locked="0"/>
    </xf>
    <xf numFmtId="0" fontId="18" fillId="0" borderId="6" xfId="0" applyFont="1" applyBorder="1" applyProtection="1">
      <protection locked="0"/>
    </xf>
    <xf numFmtId="0" fontId="18" fillId="0" borderId="35" xfId="0" applyFont="1" applyBorder="1" applyProtection="1">
      <protection locked="0"/>
    </xf>
    <xf numFmtId="1" fontId="0" fillId="0" borderId="16" xfId="0" applyNumberFormat="1" applyBorder="1" applyAlignment="1">
      <alignment horizontal="right" shrinkToFit="1"/>
    </xf>
    <xf numFmtId="0" fontId="8" fillId="2" borderId="40" xfId="0" applyFont="1" applyFill="1" applyBorder="1" applyAlignment="1" applyProtection="1">
      <alignment horizontal="center" vertical="center" wrapText="1"/>
      <protection locked="0"/>
    </xf>
    <xf numFmtId="0" fontId="10" fillId="0" borderId="35" xfId="0" applyFont="1" applyBorder="1" applyAlignment="1">
      <alignment horizontal="justify" vertical="top" wrapText="1"/>
    </xf>
    <xf numFmtId="0" fontId="28" fillId="0" borderId="36" xfId="0" applyFont="1" applyBorder="1" applyAlignment="1">
      <alignment horizontal="justify" vertical="top" wrapText="1"/>
    </xf>
    <xf numFmtId="0" fontId="0" fillId="6" borderId="0" xfId="0" applyFill="1"/>
    <xf numFmtId="0" fontId="0" fillId="7" borderId="0" xfId="0" applyFill="1"/>
    <xf numFmtId="10" fontId="0" fillId="0" borderId="16" xfId="0" applyNumberFormat="1" applyBorder="1" applyAlignment="1">
      <alignment horizontal="right" shrinkToFit="1"/>
    </xf>
    <xf numFmtId="10" fontId="0" fillId="0" borderId="5" xfId="0" applyNumberFormat="1" applyBorder="1" applyAlignment="1">
      <alignment horizontal="right" shrinkToFit="1"/>
    </xf>
    <xf numFmtId="10" fontId="0" fillId="0" borderId="35" xfId="0" applyNumberFormat="1" applyBorder="1" applyAlignment="1">
      <alignment horizontal="right" shrinkToFit="1"/>
    </xf>
    <xf numFmtId="3" fontId="26" fillId="4" borderId="42" xfId="6" applyNumberFormat="1" applyFont="1" applyFill="1" applyBorder="1" applyAlignment="1">
      <alignment horizontal="left" vertical="center"/>
    </xf>
    <xf numFmtId="3" fontId="26" fillId="4" borderId="48" xfId="14" applyNumberFormat="1" applyFont="1" applyFill="1" applyBorder="1" applyAlignment="1">
      <alignment horizontal="left" vertical="center"/>
    </xf>
    <xf numFmtId="0" fontId="38" fillId="7" borderId="0" xfId="0" applyFont="1" applyFill="1"/>
    <xf numFmtId="0" fontId="39" fillId="6" borderId="0" xfId="0" applyFont="1" applyFill="1"/>
    <xf numFmtId="0" fontId="39" fillId="7" borderId="0" xfId="0" applyFont="1" applyFill="1"/>
    <xf numFmtId="3" fontId="26" fillId="4" borderId="49" xfId="14" applyNumberFormat="1" applyFont="1" applyFill="1" applyBorder="1" applyAlignment="1">
      <alignment horizontal="left" vertical="center"/>
    </xf>
    <xf numFmtId="0" fontId="18" fillId="0" borderId="35" xfId="0" applyFont="1" applyBorder="1" applyAlignment="1" applyProtection="1">
      <alignment wrapText="1"/>
      <protection locked="0"/>
    </xf>
    <xf numFmtId="1" fontId="18" fillId="0" borderId="6" xfId="0" applyNumberFormat="1" applyFont="1" applyBorder="1" applyAlignment="1" applyProtection="1">
      <alignment wrapText="1"/>
      <protection locked="0"/>
    </xf>
    <xf numFmtId="0" fontId="0" fillId="0" borderId="0" xfId="0" applyAlignment="1">
      <alignment vertical="center"/>
    </xf>
    <xf numFmtId="0" fontId="0" fillId="0" borderId="36" xfId="0" applyBorder="1" applyAlignment="1">
      <alignment vertical="center"/>
    </xf>
    <xf numFmtId="49" fontId="10" fillId="0" borderId="35" xfId="0" applyNumberFormat="1" applyFont="1" applyBorder="1" applyAlignment="1">
      <alignment horizontal="justify" vertical="center" wrapText="1"/>
    </xf>
    <xf numFmtId="3" fontId="26" fillId="3" borderId="42" xfId="6" applyNumberFormat="1" applyFont="1" applyFill="1" applyBorder="1" applyAlignment="1">
      <alignment horizontal="right" vertical="center"/>
    </xf>
    <xf numFmtId="0" fontId="28" fillId="0" borderId="6" xfId="0" applyFont="1" applyBorder="1" applyAlignment="1">
      <alignment horizontal="justify" vertical="center" wrapText="1"/>
    </xf>
    <xf numFmtId="1" fontId="18" fillId="0" borderId="34" xfId="0" applyNumberFormat="1" applyFont="1" applyBorder="1" applyProtection="1">
      <protection locked="0"/>
    </xf>
    <xf numFmtId="1" fontId="18" fillId="0" borderId="33" xfId="0" applyNumberFormat="1" applyFont="1" applyBorder="1" applyProtection="1">
      <protection locked="0"/>
    </xf>
    <xf numFmtId="1" fontId="18" fillId="0" borderId="19" xfId="0" applyNumberFormat="1" applyFont="1" applyBorder="1" applyProtection="1">
      <protection locked="0"/>
    </xf>
    <xf numFmtId="1" fontId="18" fillId="0" borderId="5" xfId="0" applyNumberFormat="1" applyFont="1" applyBorder="1" applyProtection="1">
      <protection locked="0"/>
    </xf>
    <xf numFmtId="1" fontId="18" fillId="4" borderId="9" xfId="0" applyNumberFormat="1" applyFont="1" applyFill="1" applyBorder="1" applyProtection="1">
      <protection locked="0"/>
    </xf>
    <xf numFmtId="1" fontId="18" fillId="4" borderId="15" xfId="0" applyNumberFormat="1" applyFont="1" applyFill="1" applyBorder="1" applyProtection="1">
      <protection locked="0"/>
    </xf>
    <xf numFmtId="1" fontId="18" fillId="0" borderId="13" xfId="0" applyNumberFormat="1" applyFont="1" applyBorder="1" applyProtection="1">
      <protection locked="0"/>
    </xf>
    <xf numFmtId="1" fontId="18" fillId="0" borderId="15" xfId="0" applyNumberFormat="1" applyFont="1" applyBorder="1" applyProtection="1">
      <protection locked="0"/>
    </xf>
    <xf numFmtId="1" fontId="18" fillId="0" borderId="37" xfId="0" applyNumberFormat="1" applyFont="1" applyBorder="1" applyProtection="1">
      <protection locked="0"/>
    </xf>
    <xf numFmtId="1" fontId="18" fillId="0" borderId="17" xfId="0" applyNumberFormat="1" applyFont="1" applyBorder="1" applyProtection="1">
      <protection locked="0"/>
    </xf>
    <xf numFmtId="1" fontId="18" fillId="0" borderId="30" xfId="0" applyNumberFormat="1" applyFont="1" applyBorder="1" applyProtection="1">
      <protection locked="0"/>
    </xf>
    <xf numFmtId="1" fontId="18" fillId="0" borderId="38" xfId="0" applyNumberFormat="1" applyFont="1" applyBorder="1" applyProtection="1">
      <protection locked="0"/>
    </xf>
    <xf numFmtId="1" fontId="18" fillId="0" borderId="39" xfId="0" applyNumberFormat="1" applyFont="1" applyBorder="1" applyProtection="1">
      <protection locked="0"/>
    </xf>
    <xf numFmtId="1" fontId="18" fillId="0" borderId="36" xfId="0" applyNumberFormat="1" applyFont="1" applyBorder="1" applyProtection="1">
      <protection locked="0"/>
    </xf>
    <xf numFmtId="1" fontId="18" fillId="0" borderId="12" xfId="0" applyNumberFormat="1" applyFont="1" applyBorder="1" applyProtection="1">
      <protection locked="0"/>
    </xf>
    <xf numFmtId="1" fontId="18" fillId="0" borderId="14" xfId="0" applyNumberFormat="1" applyFont="1" applyBorder="1" applyProtection="1">
      <protection locked="0"/>
    </xf>
    <xf numFmtId="1" fontId="0" fillId="0" borderId="39" xfId="0" applyNumberFormat="1" applyBorder="1" applyAlignment="1">
      <alignment horizontal="right"/>
    </xf>
    <xf numFmtId="1" fontId="15" fillId="0" borderId="38" xfId="0" applyNumberFormat="1" applyFont="1" applyBorder="1" applyProtection="1">
      <protection locked="0"/>
    </xf>
    <xf numFmtId="1" fontId="15" fillId="0" borderId="33" xfId="0" applyNumberFormat="1" applyFont="1" applyBorder="1" applyProtection="1">
      <protection locked="0"/>
    </xf>
    <xf numFmtId="1" fontId="15" fillId="0" borderId="34" xfId="0" applyNumberFormat="1" applyFont="1" applyBorder="1" applyProtection="1">
      <protection locked="0"/>
    </xf>
    <xf numFmtId="1" fontId="18" fillId="0" borderId="38" xfId="0" applyNumberFormat="1" applyFont="1" applyBorder="1" applyAlignment="1" applyProtection="1">
      <alignment wrapText="1"/>
      <protection locked="0"/>
    </xf>
    <xf numFmtId="1" fontId="23" fillId="0" borderId="38" xfId="0" applyNumberFormat="1" applyFont="1" applyBorder="1" applyAlignment="1" applyProtection="1">
      <alignment wrapText="1"/>
      <protection locked="0"/>
    </xf>
    <xf numFmtId="1" fontId="18" fillId="0" borderId="16" xfId="0" applyNumberFormat="1" applyFont="1" applyBorder="1" applyProtection="1">
      <protection locked="0"/>
    </xf>
    <xf numFmtId="1" fontId="18" fillId="0" borderId="18" xfId="0" applyNumberFormat="1" applyFont="1" applyBorder="1" applyProtection="1">
      <protection locked="0"/>
    </xf>
    <xf numFmtId="1" fontId="18" fillId="4" borderId="8" xfId="0" applyNumberFormat="1" applyFont="1" applyFill="1" applyBorder="1" applyProtection="1">
      <protection locked="0"/>
    </xf>
    <xf numFmtId="1" fontId="0" fillId="4" borderId="38" xfId="0" applyNumberFormat="1" applyFill="1" applyBorder="1" applyAlignment="1">
      <alignment horizontal="right"/>
    </xf>
    <xf numFmtId="1" fontId="0" fillId="4" borderId="33" xfId="0" applyNumberFormat="1" applyFill="1" applyBorder="1" applyAlignment="1">
      <alignment horizontal="right"/>
    </xf>
    <xf numFmtId="1" fontId="0" fillId="4" borderId="39" xfId="0" applyNumberFormat="1" applyFill="1" applyBorder="1" applyAlignment="1">
      <alignment horizontal="right"/>
    </xf>
    <xf numFmtId="1" fontId="18" fillId="0" borderId="44" xfId="0" applyNumberFormat="1" applyFont="1" applyBorder="1" applyProtection="1">
      <protection locked="0"/>
    </xf>
    <xf numFmtId="1" fontId="18" fillId="0" borderId="39" xfId="0" applyNumberFormat="1" applyFont="1" applyBorder="1" applyAlignment="1" applyProtection="1">
      <alignment wrapText="1"/>
      <protection locked="0"/>
    </xf>
    <xf numFmtId="1" fontId="18" fillId="4" borderId="43" xfId="0" applyNumberFormat="1" applyFont="1" applyFill="1" applyBorder="1" applyProtection="1">
      <protection locked="0"/>
    </xf>
    <xf numFmtId="1" fontId="18" fillId="4" borderId="46" xfId="0" applyNumberFormat="1" applyFont="1" applyFill="1" applyBorder="1" applyProtection="1">
      <protection locked="0"/>
    </xf>
    <xf numFmtId="1" fontId="18" fillId="4" borderId="24" xfId="0" applyNumberFormat="1" applyFont="1" applyFill="1" applyBorder="1" applyProtection="1">
      <protection locked="0"/>
    </xf>
    <xf numFmtId="1" fontId="18" fillId="4" borderId="22" xfId="0" applyNumberFormat="1" applyFont="1" applyFill="1" applyBorder="1" applyProtection="1">
      <protection locked="0"/>
    </xf>
    <xf numFmtId="1" fontId="18" fillId="0" borderId="35" xfId="0" applyNumberFormat="1" applyFont="1" applyBorder="1" applyAlignment="1" applyProtection="1">
      <alignment wrapText="1"/>
      <protection locked="0"/>
    </xf>
    <xf numFmtId="49" fontId="0" fillId="0" borderId="18" xfId="0" applyNumberFormat="1" applyBorder="1" applyProtection="1">
      <protection locked="0"/>
    </xf>
    <xf numFmtId="1" fontId="41" fillId="0" borderId="53" xfId="0" applyNumberFormat="1" applyFont="1" applyBorder="1" applyAlignment="1">
      <alignment horizontal="right" shrinkToFit="1"/>
    </xf>
    <xf numFmtId="1" fontId="41" fillId="0" borderId="54" xfId="0" applyNumberFormat="1" applyFont="1" applyBorder="1" applyAlignment="1">
      <alignment horizontal="right" shrinkToFit="1"/>
    </xf>
    <xf numFmtId="1" fontId="41" fillId="0" borderId="55" xfId="0" applyNumberFormat="1" applyFont="1" applyBorder="1" applyAlignment="1">
      <alignment horizontal="right" shrinkToFit="1"/>
    </xf>
    <xf numFmtId="1" fontId="41" fillId="0" borderId="54" xfId="0" applyNumberFormat="1" applyFont="1" applyBorder="1" applyAlignment="1">
      <alignment horizontal="right"/>
    </xf>
    <xf numFmtId="1" fontId="41" fillId="0" borderId="55" xfId="0" applyNumberFormat="1" applyFont="1" applyBorder="1" applyAlignment="1">
      <alignment horizontal="right"/>
    </xf>
    <xf numFmtId="2" fontId="41" fillId="0" borderId="53" xfId="0" applyNumberFormat="1" applyFont="1" applyBorder="1" applyAlignment="1">
      <alignment horizontal="right"/>
    </xf>
    <xf numFmtId="2" fontId="41" fillId="0" borderId="54" xfId="0" applyNumberFormat="1" applyFont="1" applyBorder="1" applyAlignment="1">
      <alignment horizontal="right"/>
    </xf>
    <xf numFmtId="2" fontId="41" fillId="0" borderId="55" xfId="0" applyNumberFormat="1" applyFont="1" applyBorder="1" applyAlignment="1">
      <alignment horizontal="right"/>
    </xf>
    <xf numFmtId="166" fontId="41" fillId="0" borderId="56" xfId="0" applyNumberFormat="1" applyFont="1" applyBorder="1" applyAlignment="1">
      <alignment horizontal="right"/>
    </xf>
    <xf numFmtId="3" fontId="41" fillId="0" borderId="16" xfId="0" applyNumberFormat="1" applyFont="1" applyBorder="1" applyAlignment="1">
      <alignment horizontal="right" shrinkToFit="1"/>
    </xf>
    <xf numFmtId="3" fontId="41" fillId="0" borderId="5" xfId="0" applyNumberFormat="1" applyFont="1" applyBorder="1" applyAlignment="1">
      <alignment horizontal="right" shrinkToFit="1"/>
    </xf>
    <xf numFmtId="3" fontId="41" fillId="0" borderId="18" xfId="0" applyNumberFormat="1" applyFont="1" applyBorder="1" applyAlignment="1">
      <alignment horizontal="right" shrinkToFit="1"/>
    </xf>
    <xf numFmtId="3" fontId="41" fillId="0" borderId="51" xfId="0" applyNumberFormat="1" applyFont="1" applyBorder="1" applyAlignment="1">
      <alignment horizontal="right" shrinkToFit="1"/>
    </xf>
    <xf numFmtId="3" fontId="41" fillId="0" borderId="19" xfId="0" applyNumberFormat="1" applyFont="1" applyBorder="1" applyAlignment="1">
      <alignment horizontal="right" shrinkToFit="1"/>
    </xf>
    <xf numFmtId="166" fontId="41" fillId="0" borderId="35" xfId="0" applyNumberFormat="1" applyFont="1" applyBorder="1" applyAlignment="1">
      <alignment horizontal="right" shrinkToFit="1"/>
    </xf>
    <xf numFmtId="3" fontId="41" fillId="0" borderId="34" xfId="0" applyNumberFormat="1" applyFont="1" applyBorder="1" applyAlignment="1">
      <alignment horizontal="right" shrinkToFit="1"/>
    </xf>
    <xf numFmtId="3" fontId="41" fillId="0" borderId="57" xfId="0" applyNumberFormat="1" applyFont="1" applyBorder="1" applyAlignment="1">
      <alignment horizontal="right" shrinkToFit="1"/>
    </xf>
    <xf numFmtId="3" fontId="42" fillId="3" borderId="59" xfId="6" applyNumberFormat="1" applyFont="1" applyFill="1" applyBorder="1" applyAlignment="1">
      <alignment horizontal="right" shrinkToFit="1"/>
    </xf>
    <xf numFmtId="3" fontId="41" fillId="0" borderId="53" xfId="0" applyNumberFormat="1" applyFont="1" applyBorder="1" applyAlignment="1">
      <alignment horizontal="right" shrinkToFit="1"/>
    </xf>
    <xf numFmtId="3" fontId="41" fillId="0" borderId="54" xfId="0" applyNumberFormat="1" applyFont="1" applyBorder="1" applyAlignment="1">
      <alignment horizontal="right" shrinkToFit="1"/>
    </xf>
    <xf numFmtId="3" fontId="41" fillId="0" borderId="55" xfId="0" applyNumberFormat="1" applyFont="1" applyBorder="1" applyAlignment="1">
      <alignment horizontal="right" shrinkToFit="1"/>
    </xf>
    <xf numFmtId="3" fontId="41" fillId="0" borderId="62" xfId="0" applyNumberFormat="1" applyFont="1" applyBorder="1" applyAlignment="1">
      <alignment horizontal="right" shrinkToFit="1"/>
    </xf>
    <xf numFmtId="4" fontId="41" fillId="0" borderId="55" xfId="0" applyNumberFormat="1" applyFont="1" applyBorder="1" applyAlignment="1">
      <alignment horizontal="right" shrinkToFit="1"/>
    </xf>
    <xf numFmtId="4" fontId="41" fillId="0" borderId="44" xfId="0" applyNumberFormat="1" applyFont="1" applyBorder="1" applyAlignment="1">
      <alignment horizontal="right"/>
    </xf>
    <xf numFmtId="4" fontId="41" fillId="0" borderId="65" xfId="0" applyNumberFormat="1" applyFont="1" applyBorder="1" applyAlignment="1">
      <alignment horizontal="right"/>
    </xf>
    <xf numFmtId="2" fontId="41" fillId="0" borderId="65" xfId="0" applyNumberFormat="1" applyFont="1" applyBorder="1" applyAlignment="1">
      <alignment horizontal="right"/>
    </xf>
    <xf numFmtId="2" fontId="41" fillId="0" borderId="14" xfId="0" applyNumberFormat="1" applyFont="1" applyBorder="1" applyAlignment="1">
      <alignment horizontal="right"/>
    </xf>
    <xf numFmtId="2" fontId="41" fillId="0" borderId="16" xfId="0" applyNumberFormat="1" applyFont="1" applyBorder="1" applyAlignment="1">
      <alignment horizontal="right" shrinkToFit="1"/>
    </xf>
    <xf numFmtId="2" fontId="41" fillId="0" borderId="17" xfId="0" applyNumberFormat="1" applyFont="1" applyBorder="1" applyAlignment="1">
      <alignment horizontal="right" shrinkToFit="1"/>
    </xf>
    <xf numFmtId="2" fontId="41" fillId="0" borderId="18" xfId="0" applyNumberFormat="1" applyFont="1" applyBorder="1" applyAlignment="1">
      <alignment horizontal="right" shrinkToFit="1"/>
    </xf>
    <xf numFmtId="10" fontId="44" fillId="0" borderId="53" xfId="0" applyNumberFormat="1" applyFont="1" applyBorder="1" applyAlignment="1">
      <alignment horizontal="right" vertical="top" shrinkToFit="1"/>
    </xf>
    <xf numFmtId="10" fontId="41" fillId="0" borderId="54" xfId="0" applyNumberFormat="1" applyFont="1" applyBorder="1" applyAlignment="1">
      <alignment horizontal="right" shrinkToFit="1"/>
    </xf>
    <xf numFmtId="168" fontId="42" fillId="4" borderId="60" xfId="6" applyNumberFormat="1" applyFont="1" applyFill="1" applyBorder="1" applyAlignment="1">
      <alignment horizontal="right" shrinkToFit="1"/>
    </xf>
    <xf numFmtId="168" fontId="43" fillId="4" borderId="66" xfId="0" applyNumberFormat="1" applyFont="1" applyFill="1" applyBorder="1" applyAlignment="1">
      <alignment horizontal="right" shrinkToFit="1"/>
    </xf>
    <xf numFmtId="168" fontId="43" fillId="4" borderId="67" xfId="0" applyNumberFormat="1" applyFont="1" applyFill="1" applyBorder="1" applyAlignment="1">
      <alignment horizontal="right" shrinkToFit="1"/>
    </xf>
    <xf numFmtId="168" fontId="43" fillId="4" borderId="64" xfId="0" applyNumberFormat="1" applyFont="1" applyFill="1" applyBorder="1" applyAlignment="1">
      <alignment horizontal="right" shrinkToFit="1"/>
    </xf>
    <xf numFmtId="168" fontId="42" fillId="4" borderId="8" xfId="14" applyNumberFormat="1" applyFont="1" applyFill="1" applyBorder="1" applyAlignment="1">
      <alignment horizontal="right" vertical="center" shrinkToFit="1"/>
    </xf>
    <xf numFmtId="168" fontId="42" fillId="4" borderId="9" xfId="14" applyNumberFormat="1" applyFont="1" applyFill="1" applyBorder="1" applyAlignment="1">
      <alignment horizontal="right" vertical="center" shrinkToFit="1"/>
    </xf>
    <xf numFmtId="168" fontId="42" fillId="4" borderId="11" xfId="14" applyNumberFormat="1" applyFont="1" applyFill="1" applyBorder="1" applyAlignment="1">
      <alignment horizontal="right" vertical="center" shrinkToFit="1"/>
    </xf>
    <xf numFmtId="168" fontId="42" fillId="4" borderId="32" xfId="14" applyNumberFormat="1" applyFont="1" applyFill="1" applyBorder="1" applyAlignment="1">
      <alignment horizontal="right" vertical="center" shrinkToFit="1"/>
    </xf>
    <xf numFmtId="169" fontId="0" fillId="0" borderId="16" xfId="0" applyNumberFormat="1" applyBorder="1" applyAlignment="1">
      <alignment horizontal="right" shrinkToFit="1"/>
    </xf>
    <xf numFmtId="3" fontId="0" fillId="0" borderId="17" xfId="0" applyNumberFormat="1" applyBorder="1" applyAlignment="1">
      <alignment horizontal="right" shrinkToFit="1"/>
    </xf>
    <xf numFmtId="170" fontId="18" fillId="0" borderId="6" xfId="0" applyNumberFormat="1" applyFont="1" applyBorder="1" applyProtection="1">
      <protection locked="0"/>
    </xf>
    <xf numFmtId="170" fontId="18" fillId="0" borderId="35" xfId="0" applyNumberFormat="1" applyFont="1" applyBorder="1" applyProtection="1">
      <protection locked="0"/>
    </xf>
    <xf numFmtId="2" fontId="41" fillId="0" borderId="5" xfId="0" applyNumberFormat="1" applyFont="1" applyBorder="1" applyAlignment="1">
      <alignment horizontal="right" shrinkToFit="1"/>
    </xf>
    <xf numFmtId="0" fontId="0" fillId="0" borderId="28" xfId="0" applyBorder="1"/>
    <xf numFmtId="0" fontId="46" fillId="0" borderId="0" xfId="0" applyFont="1" applyAlignment="1">
      <alignment horizontal="left"/>
    </xf>
    <xf numFmtId="0" fontId="46" fillId="0" borderId="0" xfId="0" applyFont="1"/>
    <xf numFmtId="0" fontId="47" fillId="2" borderId="41" xfId="0" applyFont="1" applyFill="1" applyBorder="1" applyAlignment="1">
      <alignment horizontal="center" vertical="center"/>
    </xf>
    <xf numFmtId="0" fontId="48" fillId="0" borderId="0" xfId="0" applyFont="1" applyAlignment="1">
      <alignment horizontal="left" vertical="center"/>
    </xf>
    <xf numFmtId="1" fontId="41" fillId="0" borderId="35" xfId="0" applyNumberFormat="1" applyFont="1" applyBorder="1" applyAlignment="1">
      <alignment horizontal="right" shrinkToFit="1"/>
    </xf>
    <xf numFmtId="49" fontId="45" fillId="0" borderId="0" xfId="0" applyNumberFormat="1" applyFont="1" applyAlignment="1">
      <alignment horizontal="left"/>
    </xf>
    <xf numFmtId="4" fontId="41" fillId="0" borderId="53" xfId="0" applyNumberFormat="1" applyFont="1" applyBorder="1" applyAlignment="1">
      <alignment horizontal="right" shrinkToFit="1"/>
    </xf>
    <xf numFmtId="1" fontId="41" fillId="0" borderId="36" xfId="0" applyNumberFormat="1" applyFont="1" applyBorder="1" applyAlignment="1">
      <alignment horizontal="right"/>
    </xf>
    <xf numFmtId="10" fontId="41" fillId="0" borderId="56" xfId="0" applyNumberFormat="1" applyFont="1" applyBorder="1" applyAlignment="1">
      <alignment horizontal="right" shrinkToFit="1"/>
    </xf>
    <xf numFmtId="10" fontId="0" fillId="0" borderId="33" xfId="0" applyNumberFormat="1" applyBorder="1" applyAlignment="1">
      <alignment horizontal="right" shrinkToFit="1"/>
    </xf>
    <xf numFmtId="0" fontId="47" fillId="2" borderId="68" xfId="0" applyFont="1" applyFill="1" applyBorder="1" applyAlignment="1">
      <alignment horizontal="center" vertical="center" wrapText="1"/>
    </xf>
    <xf numFmtId="0" fontId="47" fillId="0" borderId="7" xfId="0" applyFont="1" applyBorder="1" applyAlignment="1">
      <alignment horizontal="center" vertical="center"/>
    </xf>
    <xf numFmtId="0" fontId="47" fillId="0" borderId="69" xfId="0" applyFont="1" applyBorder="1" applyAlignment="1">
      <alignment horizontal="center" vertical="center"/>
    </xf>
    <xf numFmtId="49" fontId="10" fillId="0" borderId="6" xfId="0" applyNumberFormat="1" applyFont="1" applyBorder="1" applyAlignment="1">
      <alignment horizontal="justify" vertical="center" wrapText="1"/>
    </xf>
    <xf numFmtId="9" fontId="15" fillId="0" borderId="5" xfId="15" applyFont="1" applyBorder="1" applyAlignment="1">
      <alignment horizontal="right" shrinkToFit="1"/>
    </xf>
    <xf numFmtId="10" fontId="43" fillId="4" borderId="66" xfId="0" applyNumberFormat="1" applyFont="1" applyFill="1" applyBorder="1" applyAlignment="1">
      <alignment horizontal="right" shrinkToFit="1"/>
    </xf>
    <xf numFmtId="10" fontId="43" fillId="4" borderId="67" xfId="0" applyNumberFormat="1" applyFont="1" applyFill="1" applyBorder="1" applyAlignment="1">
      <alignment horizontal="right" shrinkToFit="1"/>
    </xf>
    <xf numFmtId="10" fontId="43" fillId="4" borderId="64" xfId="0" applyNumberFormat="1" applyFont="1" applyFill="1" applyBorder="1" applyAlignment="1">
      <alignment horizontal="right" shrinkToFit="1"/>
    </xf>
    <xf numFmtId="0" fontId="0" fillId="0" borderId="46" xfId="0" applyBorder="1" applyProtection="1">
      <protection locked="0"/>
    </xf>
    <xf numFmtId="4" fontId="41" fillId="0" borderId="54" xfId="0" applyNumberFormat="1" applyFont="1" applyBorder="1" applyAlignment="1">
      <alignment horizontal="right" shrinkToFit="1"/>
    </xf>
    <xf numFmtId="168" fontId="42" fillId="4" borderId="10" xfId="14" applyNumberFormat="1" applyFont="1" applyFill="1" applyBorder="1" applyAlignment="1">
      <alignment horizontal="right" vertical="center" shrinkToFit="1"/>
    </xf>
    <xf numFmtId="168" fontId="42" fillId="4" borderId="52" xfId="14" applyNumberFormat="1" applyFont="1" applyFill="1" applyBorder="1" applyAlignment="1">
      <alignment horizontal="right" vertical="center" shrinkToFit="1"/>
    </xf>
    <xf numFmtId="3" fontId="42" fillId="4" borderId="31" xfId="14" applyNumberFormat="1" applyFont="1" applyFill="1" applyBorder="1" applyAlignment="1">
      <alignment horizontal="right" vertical="center" shrinkToFit="1"/>
    </xf>
    <xf numFmtId="10" fontId="42" fillId="4" borderId="70" xfId="0" applyNumberFormat="1" applyFont="1" applyFill="1" applyBorder="1" applyAlignment="1">
      <alignment horizontal="right" shrinkToFit="1"/>
    </xf>
    <xf numFmtId="0" fontId="28" fillId="0" borderId="56" xfId="0" applyFont="1" applyBorder="1" applyAlignment="1">
      <alignment horizontal="justify" vertical="top" wrapText="1"/>
    </xf>
    <xf numFmtId="166" fontId="41" fillId="0" borderId="56" xfId="0" applyNumberFormat="1" applyFont="1" applyBorder="1" applyAlignment="1">
      <alignment horizontal="right" shrinkToFit="1"/>
    </xf>
    <xf numFmtId="10" fontId="41" fillId="0" borderId="71" xfId="0" applyNumberFormat="1" applyFont="1" applyBorder="1" applyAlignment="1">
      <alignment horizontal="right" shrinkToFit="1"/>
    </xf>
    <xf numFmtId="0" fontId="18" fillId="0" borderId="6" xfId="0" applyFont="1" applyBorder="1" applyAlignment="1" applyProtection="1">
      <alignment wrapText="1"/>
      <protection locked="0"/>
    </xf>
    <xf numFmtId="49" fontId="18" fillId="0" borderId="31" xfId="0" applyNumberFormat="1" applyFont="1" applyBorder="1" applyProtection="1">
      <protection locked="0"/>
    </xf>
    <xf numFmtId="10" fontId="42" fillId="4" borderId="40" xfId="14" applyNumberFormat="1" applyFont="1" applyFill="1" applyBorder="1" applyAlignment="1">
      <alignment horizontal="right" vertical="center" shrinkToFit="1"/>
    </xf>
    <xf numFmtId="10" fontId="42" fillId="4" borderId="41" xfId="14" applyNumberFormat="1" applyFont="1" applyFill="1" applyBorder="1" applyAlignment="1">
      <alignment horizontal="right" vertical="center" shrinkToFit="1"/>
    </xf>
    <xf numFmtId="0" fontId="10" fillId="0" borderId="72" xfId="0" applyFont="1" applyBorder="1" applyAlignment="1">
      <alignment horizontal="justify" vertical="top" wrapText="1"/>
    </xf>
    <xf numFmtId="0" fontId="10" fillId="0" borderId="61" xfId="0" applyFont="1" applyBorder="1" applyAlignment="1">
      <alignment horizontal="justify" vertical="top" wrapText="1"/>
    </xf>
    <xf numFmtId="9" fontId="0" fillId="0" borderId="5" xfId="15" applyFont="1" applyBorder="1" applyAlignment="1">
      <alignment horizontal="right" shrinkToFit="1"/>
    </xf>
    <xf numFmtId="1" fontId="18" fillId="4" borderId="40" xfId="0" applyNumberFormat="1" applyFont="1" applyFill="1" applyBorder="1" applyProtection="1">
      <protection locked="0"/>
    </xf>
    <xf numFmtId="168" fontId="42" fillId="4" borderId="40" xfId="14" applyNumberFormat="1" applyFont="1" applyFill="1" applyBorder="1" applyAlignment="1">
      <alignment horizontal="right" vertical="center" shrinkToFit="1"/>
    </xf>
    <xf numFmtId="3" fontId="41" fillId="0" borderId="17" xfId="0" applyNumberFormat="1" applyFont="1" applyBorder="1" applyAlignment="1">
      <alignment horizontal="right" shrinkToFit="1"/>
    </xf>
    <xf numFmtId="49" fontId="41" fillId="0" borderId="56" xfId="0" applyNumberFormat="1" applyFont="1" applyBorder="1" applyAlignment="1">
      <alignment horizontal="right"/>
    </xf>
    <xf numFmtId="49" fontId="41" fillId="0" borderId="56" xfId="0" applyNumberFormat="1" applyFont="1" applyBorder="1" applyAlignment="1">
      <alignment horizontal="right" shrinkToFit="1"/>
    </xf>
    <xf numFmtId="49" fontId="42" fillId="4" borderId="52" xfId="14" applyNumberFormat="1" applyFont="1" applyFill="1" applyBorder="1" applyAlignment="1">
      <alignment horizontal="right" vertical="center" shrinkToFit="1"/>
    </xf>
    <xf numFmtId="49" fontId="0" fillId="0" borderId="5" xfId="0" applyNumberFormat="1" applyBorder="1" applyAlignment="1">
      <alignment horizontal="right" shrinkToFit="1"/>
    </xf>
    <xf numFmtId="9" fontId="41" fillId="0" borderId="56" xfId="15" applyFont="1" applyBorder="1" applyAlignment="1">
      <alignment horizontal="right"/>
    </xf>
    <xf numFmtId="166" fontId="41" fillId="0" borderId="35" xfId="15" applyNumberFormat="1" applyFont="1" applyBorder="1" applyAlignment="1">
      <alignment horizontal="right" shrinkToFit="1"/>
    </xf>
    <xf numFmtId="166" fontId="41" fillId="0" borderId="56" xfId="15" applyNumberFormat="1" applyFont="1" applyBorder="1" applyAlignment="1">
      <alignment horizontal="right" shrinkToFit="1"/>
    </xf>
    <xf numFmtId="166" fontId="42" fillId="4" borderId="52" xfId="15" applyNumberFormat="1" applyFont="1" applyFill="1" applyBorder="1" applyAlignment="1">
      <alignment horizontal="right" vertical="center" shrinkToFit="1"/>
    </xf>
    <xf numFmtId="166" fontId="0" fillId="0" borderId="0" xfId="15" applyNumberFormat="1" applyFont="1"/>
    <xf numFmtId="166" fontId="0" fillId="0" borderId="5" xfId="15" applyNumberFormat="1" applyFont="1" applyBorder="1" applyAlignment="1">
      <alignment horizontal="right" shrinkToFit="1"/>
    </xf>
    <xf numFmtId="1" fontId="41" fillId="0" borderId="56" xfId="0" applyNumberFormat="1" applyFont="1" applyBorder="1" applyAlignment="1">
      <alignment horizontal="right" shrinkToFit="1"/>
    </xf>
    <xf numFmtId="1" fontId="42" fillId="4" borderId="52" xfId="14" applyNumberFormat="1" applyFont="1" applyFill="1" applyBorder="1" applyAlignment="1">
      <alignment horizontal="right" vertical="center" shrinkToFit="1"/>
    </xf>
    <xf numFmtId="1" fontId="0" fillId="0" borderId="0" xfId="0" applyNumberFormat="1"/>
    <xf numFmtId="1" fontId="0" fillId="0" borderId="5" xfId="0" applyNumberFormat="1" applyBorder="1" applyAlignment="1">
      <alignment horizontal="right" shrinkToFit="1"/>
    </xf>
    <xf numFmtId="166" fontId="42" fillId="4" borderId="9" xfId="14" applyNumberFormat="1" applyFont="1" applyFill="1" applyBorder="1" applyAlignment="1">
      <alignment horizontal="right" vertical="center" shrinkToFit="1"/>
    </xf>
    <xf numFmtId="166" fontId="0" fillId="0" borderId="0" xfId="0" applyNumberFormat="1"/>
    <xf numFmtId="166" fontId="0" fillId="0" borderId="5" xfId="0" applyNumberFormat="1" applyBorder="1" applyAlignment="1">
      <alignment horizontal="right" shrinkToFit="1"/>
    </xf>
    <xf numFmtId="1" fontId="0" fillId="0" borderId="38" xfId="0" applyNumberFormat="1" applyBorder="1" applyAlignment="1">
      <alignment horizontal="right" shrinkToFit="1"/>
    </xf>
    <xf numFmtId="0" fontId="18" fillId="0" borderId="12" xfId="0" applyFont="1" applyBorder="1" applyProtection="1">
      <protection locked="0"/>
    </xf>
    <xf numFmtId="0" fontId="18" fillId="0" borderId="14" xfId="0" applyFont="1" applyBorder="1" applyProtection="1">
      <protection locked="0"/>
    </xf>
    <xf numFmtId="0" fontId="18" fillId="0" borderId="39" xfId="0" applyFont="1" applyBorder="1" applyProtection="1">
      <protection locked="0"/>
    </xf>
    <xf numFmtId="0" fontId="18" fillId="0" borderId="38" xfId="0" applyFont="1" applyBorder="1" applyAlignment="1" applyProtection="1">
      <alignment wrapText="1"/>
      <protection locked="0"/>
    </xf>
    <xf numFmtId="0" fontId="18" fillId="0" borderId="18" xfId="0" applyFont="1" applyBorder="1" applyProtection="1">
      <protection locked="0"/>
    </xf>
    <xf numFmtId="0" fontId="18" fillId="4" borderId="8" xfId="0" applyFont="1" applyFill="1" applyBorder="1" applyProtection="1">
      <protection locked="0"/>
    </xf>
    <xf numFmtId="0" fontId="18" fillId="4" borderId="11" xfId="0" applyFont="1" applyFill="1" applyBorder="1" applyProtection="1">
      <protection locked="0"/>
    </xf>
    <xf numFmtId="0" fontId="18" fillId="4" borderId="41" xfId="0" applyFont="1" applyFill="1" applyBorder="1" applyProtection="1">
      <protection locked="0"/>
    </xf>
    <xf numFmtId="0" fontId="18" fillId="0" borderId="36" xfId="0" applyFont="1" applyBorder="1" applyProtection="1">
      <protection locked="0"/>
    </xf>
    <xf numFmtId="0" fontId="18" fillId="0" borderId="39" xfId="0" applyFont="1" applyBorder="1" applyAlignment="1" applyProtection="1">
      <alignment wrapText="1"/>
      <protection locked="0"/>
    </xf>
    <xf numFmtId="0" fontId="18" fillId="0" borderId="5" xfId="0" applyFont="1" applyBorder="1" applyProtection="1">
      <protection locked="0"/>
    </xf>
    <xf numFmtId="0" fontId="18" fillId="4" borderId="46" xfId="0" applyFont="1" applyFill="1" applyBorder="1" applyProtection="1">
      <protection locked="0"/>
    </xf>
    <xf numFmtId="0" fontId="18" fillId="4" borderId="24" xfId="0" applyFont="1" applyFill="1" applyBorder="1" applyProtection="1">
      <protection locked="0"/>
    </xf>
    <xf numFmtId="2" fontId="46" fillId="0" borderId="0" xfId="0" applyNumberFormat="1" applyFont="1" applyAlignment="1">
      <alignment horizontal="left"/>
    </xf>
    <xf numFmtId="166" fontId="0" fillId="0" borderId="16" xfId="0" applyNumberFormat="1" applyBorder="1" applyAlignment="1">
      <alignment horizontal="right" shrinkToFit="1"/>
    </xf>
    <xf numFmtId="1" fontId="41" fillId="0" borderId="16" xfId="0" applyNumberFormat="1" applyFont="1" applyBorder="1" applyAlignment="1">
      <alignment horizontal="right" shrinkToFit="1"/>
    </xf>
    <xf numFmtId="3" fontId="41" fillId="0" borderId="72" xfId="0" applyNumberFormat="1" applyFont="1" applyBorder="1" applyAlignment="1">
      <alignment horizontal="right" shrinkToFit="1"/>
    </xf>
    <xf numFmtId="1" fontId="41" fillId="0" borderId="5" xfId="0" applyNumberFormat="1" applyFont="1" applyBorder="1" applyAlignment="1">
      <alignment horizontal="right" shrinkToFit="1"/>
    </xf>
    <xf numFmtId="1" fontId="41" fillId="0" borderId="18" xfId="0" applyNumberFormat="1" applyFont="1" applyBorder="1" applyAlignment="1">
      <alignment horizontal="right" shrinkToFit="1"/>
    </xf>
    <xf numFmtId="3" fontId="41" fillId="0" borderId="56" xfId="0" applyNumberFormat="1" applyFont="1" applyBorder="1" applyAlignment="1">
      <alignment horizontal="right" shrinkToFit="1"/>
    </xf>
    <xf numFmtId="9" fontId="41" fillId="0" borderId="5" xfId="15" applyFont="1" applyBorder="1" applyAlignment="1">
      <alignment horizontal="right" shrinkToFit="1"/>
    </xf>
    <xf numFmtId="2" fontId="18" fillId="0" borderId="12" xfId="0" applyNumberFormat="1" applyFont="1" applyBorder="1" applyProtection="1">
      <protection locked="0"/>
    </xf>
    <xf numFmtId="2" fontId="18" fillId="0" borderId="38" xfId="0" applyNumberFormat="1" applyFont="1" applyBorder="1" applyAlignment="1" applyProtection="1">
      <alignment wrapText="1"/>
      <protection locked="0"/>
    </xf>
    <xf numFmtId="2" fontId="18" fillId="0" borderId="16" xfId="0" applyNumberFormat="1" applyFont="1" applyBorder="1" applyProtection="1">
      <protection locked="0"/>
    </xf>
    <xf numFmtId="3" fontId="26" fillId="4" borderId="4" xfId="14" applyNumberFormat="1" applyFont="1" applyFill="1" applyBorder="1" applyAlignment="1">
      <alignment horizontal="left" vertical="center"/>
    </xf>
    <xf numFmtId="0" fontId="10" fillId="0" borderId="74" xfId="0" applyFont="1" applyBorder="1" applyAlignment="1">
      <alignment horizontal="justify" vertical="top" wrapText="1"/>
    </xf>
    <xf numFmtId="0" fontId="10" fillId="0" borderId="62" xfId="0" applyFont="1" applyBorder="1" applyAlignment="1">
      <alignment horizontal="justify" vertical="top" wrapText="1"/>
    </xf>
    <xf numFmtId="9" fontId="41" fillId="0" borderId="54" xfId="0" applyNumberFormat="1" applyFont="1" applyBorder="1" applyAlignment="1">
      <alignment horizontal="right" shrinkToFit="1"/>
    </xf>
    <xf numFmtId="9" fontId="41" fillId="0" borderId="55" xfId="0" applyNumberFormat="1" applyFont="1" applyBorder="1" applyAlignment="1">
      <alignment horizontal="right" shrinkToFit="1"/>
    </xf>
    <xf numFmtId="0" fontId="0" fillId="9" borderId="0" xfId="0" applyFill="1"/>
    <xf numFmtId="165" fontId="0" fillId="9" borderId="0" xfId="0" applyNumberFormat="1" applyFill="1"/>
    <xf numFmtId="166" fontId="41" fillId="0" borderId="5" xfId="0" applyNumberFormat="1" applyFont="1" applyBorder="1" applyAlignment="1">
      <alignment horizontal="right" shrinkToFit="1"/>
    </xf>
    <xf numFmtId="166" fontId="41" fillId="0" borderId="17" xfId="0" applyNumberFormat="1" applyFont="1" applyBorder="1" applyAlignment="1">
      <alignment horizontal="right" shrinkToFit="1"/>
    </xf>
    <xf numFmtId="166" fontId="41" fillId="0" borderId="19" xfId="0" applyNumberFormat="1" applyFont="1" applyBorder="1" applyAlignment="1">
      <alignment horizontal="right" shrinkToFit="1"/>
    </xf>
    <xf numFmtId="166" fontId="41" fillId="0" borderId="18" xfId="0" applyNumberFormat="1" applyFont="1" applyBorder="1" applyAlignment="1">
      <alignment horizontal="right" shrinkToFit="1"/>
    </xf>
    <xf numFmtId="166" fontId="41" fillId="0" borderId="16" xfId="0" applyNumberFormat="1" applyFont="1" applyBorder="1" applyAlignment="1">
      <alignment horizontal="right" shrinkToFit="1"/>
    </xf>
    <xf numFmtId="166" fontId="43" fillId="4" borderId="75" xfId="0" applyNumberFormat="1" applyFont="1" applyFill="1" applyBorder="1" applyAlignment="1">
      <alignment horizontal="right" shrinkToFit="1"/>
    </xf>
    <xf numFmtId="166" fontId="43" fillId="4" borderId="59" xfId="0" applyNumberFormat="1" applyFont="1" applyFill="1" applyBorder="1" applyAlignment="1">
      <alignment horizontal="right" shrinkToFit="1"/>
    </xf>
    <xf numFmtId="166" fontId="43" fillId="4" borderId="76" xfId="0" applyNumberFormat="1" applyFont="1" applyFill="1" applyBorder="1" applyAlignment="1">
      <alignment horizontal="right" shrinkToFit="1"/>
    </xf>
    <xf numFmtId="166" fontId="42" fillId="4" borderId="42" xfId="0" applyNumberFormat="1" applyFont="1" applyFill="1" applyBorder="1" applyAlignment="1">
      <alignment horizontal="right" vertical="top" shrinkToFit="1"/>
    </xf>
    <xf numFmtId="166" fontId="43" fillId="4" borderId="77" xfId="0" applyNumberFormat="1" applyFont="1" applyFill="1" applyBorder="1" applyAlignment="1">
      <alignment horizontal="right" shrinkToFit="1"/>
    </xf>
    <xf numFmtId="166" fontId="42" fillId="4" borderId="60" xfId="0" applyNumberFormat="1" applyFont="1" applyFill="1" applyBorder="1" applyAlignment="1">
      <alignment horizontal="right" vertical="top" shrinkToFit="1"/>
    </xf>
    <xf numFmtId="168" fontId="41" fillId="0" borderId="5" xfId="0" applyNumberFormat="1" applyFont="1" applyBorder="1" applyAlignment="1">
      <alignment horizontal="right" shrinkToFit="1"/>
    </xf>
    <xf numFmtId="168" fontId="41" fillId="0" borderId="35" xfId="0" applyNumberFormat="1" applyFont="1" applyBorder="1" applyAlignment="1">
      <alignment horizontal="right" shrinkToFit="1"/>
    </xf>
    <xf numFmtId="168" fontId="41" fillId="0" borderId="19" xfId="0" applyNumberFormat="1" applyFont="1" applyBorder="1" applyAlignment="1">
      <alignment horizontal="right" shrinkToFit="1"/>
    </xf>
    <xf numFmtId="168" fontId="43" fillId="4" borderId="79" xfId="15" applyNumberFormat="1" applyFont="1" applyFill="1" applyBorder="1" applyAlignment="1">
      <alignment horizontal="right" shrinkToFit="1"/>
    </xf>
    <xf numFmtId="168" fontId="43" fillId="4" borderId="80" xfId="15" applyNumberFormat="1" applyFont="1" applyFill="1" applyBorder="1" applyAlignment="1">
      <alignment horizontal="right" shrinkToFit="1"/>
    </xf>
    <xf numFmtId="168" fontId="43" fillId="4" borderId="81" xfId="15" applyNumberFormat="1" applyFont="1" applyFill="1" applyBorder="1" applyAlignment="1">
      <alignment horizontal="right" shrinkToFit="1"/>
    </xf>
    <xf numFmtId="168" fontId="42" fillId="4" borderId="82" xfId="15" applyNumberFormat="1" applyFont="1" applyFill="1" applyBorder="1" applyAlignment="1">
      <alignment horizontal="right" shrinkToFit="1"/>
    </xf>
    <xf numFmtId="0" fontId="50" fillId="0" borderId="26" xfId="0" applyFont="1" applyBorder="1"/>
    <xf numFmtId="0" fontId="51" fillId="0" borderId="25" xfId="0" applyFont="1" applyBorder="1"/>
    <xf numFmtId="0" fontId="52" fillId="0" borderId="22" xfId="0" applyFont="1" applyBorder="1" applyAlignment="1">
      <alignment horizontal="right"/>
    </xf>
    <xf numFmtId="0" fontId="53" fillId="0" borderId="5" xfId="0" applyFont="1" applyBorder="1" applyAlignment="1">
      <alignment horizontal="center"/>
    </xf>
    <xf numFmtId="0" fontId="52" fillId="0" borderId="5" xfId="0" applyFont="1" applyBorder="1"/>
    <xf numFmtId="0" fontId="53" fillId="0" borderId="5" xfId="0" applyFont="1" applyBorder="1"/>
    <xf numFmtId="0" fontId="50" fillId="0" borderId="0" xfId="0" applyFont="1"/>
    <xf numFmtId="0" fontId="50" fillId="0" borderId="27" xfId="0" applyFont="1" applyBorder="1"/>
    <xf numFmtId="0" fontId="54" fillId="0" borderId="27" xfId="0" applyFont="1" applyBorder="1"/>
    <xf numFmtId="49" fontId="50" fillId="0" borderId="0" xfId="0" applyNumberFormat="1" applyFont="1"/>
    <xf numFmtId="49" fontId="50" fillId="0" borderId="26" xfId="0" applyNumberFormat="1" applyFont="1" applyBorder="1"/>
    <xf numFmtId="49" fontId="49" fillId="0" borderId="26" xfId="0" applyNumberFormat="1" applyFont="1" applyBorder="1" applyAlignment="1">
      <alignment horizontal="center"/>
    </xf>
    <xf numFmtId="0" fontId="54" fillId="0" borderId="26" xfId="0" applyFont="1" applyBorder="1"/>
    <xf numFmtId="49" fontId="54" fillId="0" borderId="1" xfId="0" applyNumberFormat="1" applyFont="1" applyBorder="1"/>
    <xf numFmtId="49" fontId="54" fillId="0" borderId="27" xfId="0" applyNumberFormat="1" applyFont="1" applyBorder="1"/>
    <xf numFmtId="0" fontId="50" fillId="0" borderId="2" xfId="0" applyFont="1" applyBorder="1"/>
    <xf numFmtId="0" fontId="54" fillId="0" borderId="28" xfId="0" applyFont="1" applyBorder="1"/>
    <xf numFmtId="0" fontId="50" fillId="0" borderId="3" xfId="0" applyFont="1" applyBorder="1"/>
    <xf numFmtId="0" fontId="50" fillId="0" borderId="4" xfId="0" applyFont="1" applyBorder="1"/>
    <xf numFmtId="0" fontId="52" fillId="0" borderId="93" xfId="0" applyFont="1" applyBorder="1" applyAlignment="1">
      <alignment horizontal="right"/>
    </xf>
    <xf numFmtId="0" fontId="53" fillId="0" borderId="94" xfId="0" applyFont="1" applyBorder="1" applyProtection="1">
      <protection locked="0"/>
    </xf>
    <xf numFmtId="0" fontId="52" fillId="0" borderId="16" xfId="0" applyFont="1" applyBorder="1" applyAlignment="1">
      <alignment horizontal="right"/>
    </xf>
    <xf numFmtId="0" fontId="53" fillId="0" borderId="18" xfId="0" applyFont="1" applyBorder="1" applyProtection="1">
      <protection locked="0"/>
    </xf>
    <xf numFmtId="0" fontId="55" fillId="0" borderId="0" xfId="0" applyFont="1" applyAlignment="1">
      <alignment vertical="center"/>
    </xf>
    <xf numFmtId="49" fontId="56" fillId="0" borderId="0" xfId="0" applyNumberFormat="1" applyFont="1"/>
    <xf numFmtId="0" fontId="55" fillId="0" borderId="0" xfId="0" applyFont="1"/>
    <xf numFmtId="0" fontId="60" fillId="2" borderId="41" xfId="0" applyFont="1" applyFill="1" applyBorder="1" applyAlignment="1">
      <alignment horizontal="center" vertical="center"/>
    </xf>
    <xf numFmtId="0" fontId="58" fillId="2" borderId="95" xfId="0" applyFont="1" applyFill="1" applyBorder="1" applyAlignment="1">
      <alignment horizontal="center" vertical="center" wrapText="1"/>
    </xf>
    <xf numFmtId="0" fontId="61" fillId="2" borderId="95" xfId="0" applyFont="1" applyFill="1" applyBorder="1" applyAlignment="1">
      <alignment horizontal="center" vertical="center" wrapText="1"/>
    </xf>
    <xf numFmtId="0" fontId="61" fillId="2" borderId="96" xfId="0" applyFont="1" applyFill="1" applyBorder="1" applyAlignment="1">
      <alignment horizontal="center" vertical="center" wrapText="1"/>
    </xf>
    <xf numFmtId="0" fontId="58" fillId="0" borderId="6" xfId="0" applyFont="1" applyBorder="1" applyAlignment="1">
      <alignment horizontal="justify" vertical="top" wrapText="1"/>
    </xf>
    <xf numFmtId="1" fontId="50" fillId="0" borderId="38" xfId="0" applyNumberFormat="1" applyFont="1" applyBorder="1" applyAlignment="1">
      <alignment shrinkToFit="1"/>
    </xf>
    <xf numFmtId="1" fontId="50" fillId="0" borderId="44" xfId="0" applyNumberFormat="1" applyFont="1" applyBorder="1" applyAlignment="1">
      <alignment horizontal="right" shrinkToFit="1"/>
    </xf>
    <xf numFmtId="2" fontId="50" fillId="0" borderId="50" xfId="0" applyNumberFormat="1" applyFont="1" applyBorder="1" applyAlignment="1">
      <alignment horizontal="right" shrinkToFit="1"/>
    </xf>
    <xf numFmtId="1" fontId="50" fillId="0" borderId="50" xfId="0" applyNumberFormat="1" applyFont="1" applyBorder="1" applyAlignment="1">
      <alignment horizontal="right" shrinkToFit="1"/>
    </xf>
    <xf numFmtId="0" fontId="61" fillId="2" borderId="36" xfId="0" applyFont="1" applyFill="1" applyBorder="1" applyAlignment="1">
      <alignment horizontal="center" vertical="center" wrapText="1"/>
    </xf>
    <xf numFmtId="0" fontId="55" fillId="0" borderId="6" xfId="0" applyFont="1" applyBorder="1" applyAlignment="1">
      <alignment horizontal="justify" vertical="top" wrapText="1"/>
    </xf>
    <xf numFmtId="3" fontId="50" fillId="0" borderId="16" xfId="0" applyNumberFormat="1" applyFont="1" applyBorder="1" applyAlignment="1">
      <alignment horizontal="right" shrinkToFit="1"/>
    </xf>
    <xf numFmtId="4" fontId="50" fillId="0" borderId="18" xfId="0" applyNumberFormat="1" applyFont="1" applyBorder="1" applyAlignment="1">
      <alignment horizontal="right" shrinkToFit="1"/>
    </xf>
    <xf numFmtId="1" fontId="50" fillId="0" borderId="35" xfId="0" applyNumberFormat="1" applyFont="1" applyBorder="1" applyAlignment="1">
      <alignment horizontal="right" shrinkToFit="1"/>
    </xf>
    <xf numFmtId="3" fontId="50" fillId="0" borderId="61" xfId="0" applyNumberFormat="1" applyFont="1" applyBorder="1" applyAlignment="1">
      <alignment horizontal="right" shrinkToFit="1"/>
    </xf>
    <xf numFmtId="4" fontId="50" fillId="0" borderId="57" xfId="0" applyNumberFormat="1" applyFont="1" applyBorder="1" applyAlignment="1">
      <alignment horizontal="right" shrinkToFit="1"/>
    </xf>
    <xf numFmtId="3" fontId="50" fillId="0" borderId="57" xfId="0" applyNumberFormat="1" applyFont="1" applyBorder="1" applyAlignment="1">
      <alignment horizontal="right" shrinkToFit="1"/>
    </xf>
    <xf numFmtId="3" fontId="50" fillId="0" borderId="6" xfId="0" applyNumberFormat="1" applyFont="1" applyBorder="1" applyAlignment="1">
      <alignment horizontal="right" shrinkToFit="1"/>
    </xf>
    <xf numFmtId="3" fontId="50" fillId="0" borderId="18" xfId="0" applyNumberFormat="1" applyFont="1" applyBorder="1" applyAlignment="1">
      <alignment horizontal="right" shrinkToFit="1"/>
    </xf>
    <xf numFmtId="0" fontId="50" fillId="0" borderId="0" xfId="14" applyFont="1" applyAlignment="1">
      <alignment horizontal="left" vertical="center"/>
    </xf>
    <xf numFmtId="0" fontId="50" fillId="0" borderId="26" xfId="14" applyFont="1" applyBorder="1" applyAlignment="1">
      <alignment horizontal="left" vertical="center"/>
    </xf>
    <xf numFmtId="0" fontId="50" fillId="0" borderId="0" xfId="14" applyFont="1" applyAlignment="1">
      <alignment horizontal="left" vertical="center" wrapText="1"/>
    </xf>
    <xf numFmtId="0" fontId="62" fillId="0" borderId="0" xfId="0" applyFont="1"/>
    <xf numFmtId="49" fontId="56" fillId="0" borderId="0" xfId="0" applyNumberFormat="1" applyFont="1" applyAlignment="1">
      <alignment wrapText="1"/>
    </xf>
    <xf numFmtId="0" fontId="58" fillId="2" borderId="8" xfId="0" applyFont="1" applyFill="1" applyBorder="1" applyAlignment="1">
      <alignment horizontal="center" vertical="center" wrapText="1"/>
    </xf>
    <xf numFmtId="0" fontId="58" fillId="2" borderId="48" xfId="0" applyFont="1" applyFill="1" applyBorder="1" applyAlignment="1">
      <alignment horizontal="center" vertical="center" wrapText="1"/>
    </xf>
    <xf numFmtId="0" fontId="58" fillId="0" borderId="61" xfId="0" applyFont="1" applyBorder="1" applyAlignment="1">
      <alignment horizontal="justify" vertical="top" wrapText="1"/>
    </xf>
    <xf numFmtId="49" fontId="50" fillId="0" borderId="36" xfId="0" applyNumberFormat="1" applyFont="1" applyBorder="1"/>
    <xf numFmtId="10" fontId="50" fillId="0" borderId="18" xfId="0" applyNumberFormat="1" applyFont="1" applyBorder="1" applyAlignment="1">
      <alignment horizontal="right" shrinkToFit="1"/>
    </xf>
    <xf numFmtId="2" fontId="50" fillId="0" borderId="16" xfId="0" applyNumberFormat="1" applyFont="1" applyBorder="1" applyAlignment="1">
      <alignment horizontal="right" shrinkToFit="1"/>
    </xf>
    <xf numFmtId="2" fontId="50" fillId="0" borderId="0" xfId="0" applyNumberFormat="1" applyFont="1"/>
    <xf numFmtId="49" fontId="50" fillId="0" borderId="35" xfId="0" applyNumberFormat="1" applyFont="1" applyBorder="1"/>
    <xf numFmtId="0" fontId="50" fillId="0" borderId="0" xfId="0" applyFont="1" applyAlignment="1">
      <alignment horizontal="center"/>
    </xf>
    <xf numFmtId="0" fontId="56" fillId="2" borderId="0" xfId="0" applyFont="1" applyFill="1" applyAlignment="1">
      <alignment horizontal="left" vertical="center"/>
    </xf>
    <xf numFmtId="0" fontId="50" fillId="0" borderId="44" xfId="0" applyFont="1" applyBorder="1" applyAlignment="1">
      <alignment horizontal="right" shrinkToFit="1"/>
    </xf>
    <xf numFmtId="49" fontId="50" fillId="0" borderId="16" xfId="0" applyNumberFormat="1" applyFont="1" applyBorder="1" applyAlignment="1">
      <alignment horizontal="right" shrinkToFit="1"/>
    </xf>
    <xf numFmtId="3" fontId="50" fillId="0" borderId="39" xfId="0" applyNumberFormat="1" applyFont="1" applyBorder="1" applyAlignment="1">
      <alignment horizontal="right" shrinkToFit="1"/>
    </xf>
    <xf numFmtId="0" fontId="56" fillId="0" borderId="0" xfId="0" applyFont="1" applyAlignment="1">
      <alignment horizontal="left"/>
    </xf>
    <xf numFmtId="1" fontId="50" fillId="0" borderId="44" xfId="0" applyNumberFormat="1" applyFont="1" applyBorder="1" applyAlignment="1">
      <alignment horizontal="right"/>
    </xf>
    <xf numFmtId="1" fontId="50" fillId="0" borderId="65" xfId="0" applyNumberFormat="1" applyFont="1" applyBorder="1" applyAlignment="1">
      <alignment horizontal="right"/>
    </xf>
    <xf numFmtId="1" fontId="50" fillId="0" borderId="50" xfId="0" applyNumberFormat="1" applyFont="1" applyBorder="1" applyAlignment="1">
      <alignment horizontal="right"/>
    </xf>
    <xf numFmtId="3" fontId="50" fillId="0" borderId="38" xfId="0" applyNumberFormat="1" applyFont="1" applyBorder="1" applyAlignment="1">
      <alignment horizontal="right" shrinkToFit="1"/>
    </xf>
    <xf numFmtId="3" fontId="50" fillId="0" borderId="34" xfId="0" applyNumberFormat="1" applyFont="1" applyBorder="1" applyAlignment="1">
      <alignment horizontal="right" shrinkToFit="1"/>
    </xf>
    <xf numFmtId="3" fontId="50" fillId="0" borderId="62" xfId="0" applyNumberFormat="1" applyFont="1" applyBorder="1" applyAlignment="1">
      <alignment horizontal="right" shrinkToFit="1"/>
    </xf>
    <xf numFmtId="0" fontId="56" fillId="0" borderId="0" xfId="0" applyFont="1"/>
    <xf numFmtId="0" fontId="60" fillId="2" borderId="41" xfId="0" applyFont="1" applyFill="1" applyBorder="1" applyAlignment="1">
      <alignment horizontal="left" vertical="center"/>
    </xf>
    <xf numFmtId="2" fontId="50" fillId="0" borderId="61" xfId="0" applyNumberFormat="1" applyFont="1" applyBorder="1" applyAlignment="1">
      <alignment horizontal="right"/>
    </xf>
    <xf numFmtId="2" fontId="50" fillId="0" borderId="62" xfId="0" applyNumberFormat="1" applyFont="1" applyBorder="1" applyAlignment="1">
      <alignment horizontal="right"/>
    </xf>
    <xf numFmtId="2" fontId="50" fillId="0" borderId="57" xfId="0" applyNumberFormat="1" applyFont="1" applyBorder="1" applyAlignment="1">
      <alignment horizontal="right"/>
    </xf>
    <xf numFmtId="2" fontId="50" fillId="0" borderId="6" xfId="0" applyNumberFormat="1" applyFont="1" applyBorder="1" applyAlignment="1">
      <alignment horizontal="right"/>
    </xf>
    <xf numFmtId="4" fontId="50" fillId="0" borderId="16" xfId="0" applyNumberFormat="1" applyFont="1" applyBorder="1" applyAlignment="1">
      <alignment horizontal="right" shrinkToFit="1"/>
    </xf>
    <xf numFmtId="4" fontId="50" fillId="0" borderId="5" xfId="0" applyNumberFormat="1" applyFont="1" applyBorder="1" applyAlignment="1">
      <alignment horizontal="right" shrinkToFit="1"/>
    </xf>
    <xf numFmtId="4" fontId="50" fillId="0" borderId="17" xfId="0" applyNumberFormat="1" applyFont="1" applyBorder="1" applyAlignment="1">
      <alignment horizontal="right" shrinkToFit="1"/>
    </xf>
    <xf numFmtId="4" fontId="50" fillId="0" borderId="35" xfId="0" applyNumberFormat="1" applyFont="1" applyBorder="1" applyAlignment="1">
      <alignment horizontal="right" shrinkToFit="1"/>
    </xf>
    <xf numFmtId="4" fontId="50" fillId="0" borderId="61" xfId="0" applyNumberFormat="1" applyFont="1" applyBorder="1" applyAlignment="1">
      <alignment horizontal="right" shrinkToFit="1"/>
    </xf>
    <xf numFmtId="4" fontId="50" fillId="0" borderId="62" xfId="0" applyNumberFormat="1" applyFont="1" applyBorder="1" applyAlignment="1">
      <alignment horizontal="right" shrinkToFit="1"/>
    </xf>
    <xf numFmtId="4" fontId="50" fillId="0" borderId="6" xfId="0" applyNumberFormat="1" applyFont="1" applyBorder="1" applyAlignment="1">
      <alignment horizontal="right" shrinkToFit="1"/>
    </xf>
    <xf numFmtId="4" fontId="50" fillId="0" borderId="61" xfId="0" applyNumberFormat="1" applyFont="1" applyBorder="1" applyAlignment="1">
      <alignment horizontal="right"/>
    </xf>
    <xf numFmtId="4" fontId="50" fillId="0" borderId="62" xfId="0" applyNumberFormat="1" applyFont="1" applyBorder="1" applyAlignment="1">
      <alignment horizontal="right"/>
    </xf>
    <xf numFmtId="1" fontId="50" fillId="0" borderId="62" xfId="0" applyNumberFormat="1" applyFont="1" applyBorder="1" applyAlignment="1">
      <alignment horizontal="right"/>
    </xf>
    <xf numFmtId="1" fontId="50" fillId="0" borderId="57" xfId="0" applyNumberFormat="1" applyFont="1" applyBorder="1" applyAlignment="1">
      <alignment horizontal="right"/>
    </xf>
    <xf numFmtId="2" fontId="50" fillId="0" borderId="39" xfId="0" applyNumberFormat="1" applyFont="1" applyBorder="1" applyAlignment="1">
      <alignment horizontal="right"/>
    </xf>
    <xf numFmtId="0" fontId="53" fillId="0" borderId="0" xfId="0" applyFont="1" applyAlignment="1">
      <alignment vertical="top" wrapText="1"/>
    </xf>
    <xf numFmtId="166" fontId="50" fillId="0" borderId="16" xfId="0" applyNumberFormat="1" applyFont="1" applyBorder="1" applyAlignment="1">
      <alignment horizontal="right" shrinkToFit="1"/>
    </xf>
    <xf numFmtId="166" fontId="50" fillId="0" borderId="5" xfId="0" applyNumberFormat="1" applyFont="1" applyBorder="1" applyAlignment="1">
      <alignment horizontal="right" shrinkToFit="1"/>
    </xf>
    <xf numFmtId="166" fontId="50" fillId="0" borderId="17" xfId="0" applyNumberFormat="1" applyFont="1" applyBorder="1" applyAlignment="1">
      <alignment horizontal="right" shrinkToFit="1"/>
    </xf>
    <xf numFmtId="166" fontId="63" fillId="0" borderId="53" xfId="0" applyNumberFormat="1" applyFont="1" applyBorder="1" applyAlignment="1">
      <alignment horizontal="right" vertical="top" shrinkToFit="1"/>
    </xf>
    <xf numFmtId="166" fontId="50" fillId="0" borderId="54" xfId="0" applyNumberFormat="1" applyFont="1" applyBorder="1" applyAlignment="1">
      <alignment horizontal="right" shrinkToFit="1"/>
    </xf>
    <xf numFmtId="166" fontId="50" fillId="0" borderId="55" xfId="0" applyNumberFormat="1" applyFont="1" applyBorder="1" applyAlignment="1">
      <alignment horizontal="right" shrinkToFit="1"/>
    </xf>
    <xf numFmtId="166" fontId="50" fillId="0" borderId="18" xfId="0" applyNumberFormat="1" applyFont="1" applyBorder="1" applyAlignment="1">
      <alignment horizontal="right" shrinkToFit="1"/>
    </xf>
    <xf numFmtId="166" fontId="50" fillId="0" borderId="35" xfId="0" applyNumberFormat="1" applyFont="1" applyBorder="1" applyAlignment="1">
      <alignment horizontal="right" shrinkToFit="1"/>
    </xf>
    <xf numFmtId="0" fontId="50" fillId="0" borderId="0" xfId="0" applyFont="1" applyAlignment="1">
      <alignment vertical="top" wrapText="1"/>
    </xf>
    <xf numFmtId="0" fontId="58" fillId="0" borderId="0" xfId="0" applyFont="1" applyAlignment="1">
      <alignment horizontal="center" vertical="center" wrapText="1"/>
    </xf>
    <xf numFmtId="0" fontId="64" fillId="0" borderId="0" xfId="0" applyFont="1" applyAlignment="1">
      <alignment horizontal="justify" vertical="top"/>
    </xf>
    <xf numFmtId="0" fontId="0" fillId="0" borderId="0" xfId="0" applyAlignment="1">
      <alignment horizontal="justify" vertical="top"/>
    </xf>
    <xf numFmtId="0" fontId="58" fillId="0" borderId="83" xfId="0" applyFont="1" applyBorder="1" applyAlignment="1">
      <alignment horizontal="center" vertical="center" wrapText="1"/>
    </xf>
    <xf numFmtId="0" fontId="50" fillId="0" borderId="0" xfId="0" applyFont="1" applyAlignment="1">
      <alignment vertical="center"/>
    </xf>
    <xf numFmtId="49" fontId="18" fillId="0" borderId="39" xfId="0" applyNumberFormat="1" applyFont="1" applyBorder="1" applyAlignment="1" applyProtection="1">
      <alignment wrapText="1"/>
      <protection locked="0"/>
    </xf>
    <xf numFmtId="49" fontId="18" fillId="0" borderId="46" xfId="0" applyNumberFormat="1" applyFont="1" applyBorder="1" applyProtection="1">
      <protection locked="0"/>
    </xf>
    <xf numFmtId="0" fontId="31" fillId="0" borderId="0" xfId="0" applyFont="1"/>
    <xf numFmtId="49" fontId="52" fillId="0" borderId="25" xfId="0" applyNumberFormat="1" applyFont="1" applyBorder="1"/>
    <xf numFmtId="0" fontId="18" fillId="0" borderId="20" xfId="0" applyFont="1" applyBorder="1" applyProtection="1">
      <protection locked="0"/>
    </xf>
    <xf numFmtId="0" fontId="18" fillId="0" borderId="46" xfId="0" applyFont="1" applyBorder="1" applyProtection="1">
      <protection locked="0"/>
    </xf>
    <xf numFmtId="166" fontId="41" fillId="0" borderId="54" xfId="0" applyNumberFormat="1" applyFont="1" applyBorder="1" applyAlignment="1">
      <alignment horizontal="right" shrinkToFit="1"/>
    </xf>
    <xf numFmtId="166" fontId="41" fillId="0" borderId="54" xfId="0" applyNumberFormat="1" applyFont="1" applyBorder="1" applyAlignment="1">
      <alignment horizontal="right"/>
    </xf>
    <xf numFmtId="0" fontId="41" fillId="0" borderId="56" xfId="0" applyFont="1" applyBorder="1" applyAlignment="1">
      <alignment horizontal="right"/>
    </xf>
    <xf numFmtId="166" fontId="41" fillId="0" borderId="5" xfId="15" applyNumberFormat="1" applyFont="1" applyBorder="1" applyAlignment="1">
      <alignment horizontal="right" shrinkToFit="1"/>
    </xf>
    <xf numFmtId="1" fontId="41" fillId="0" borderId="17" xfId="0" applyNumberFormat="1" applyFont="1" applyBorder="1" applyAlignment="1">
      <alignment horizontal="right" shrinkToFit="1"/>
    </xf>
    <xf numFmtId="0" fontId="41" fillId="0" borderId="35" xfId="0" applyFont="1" applyBorder="1" applyAlignment="1">
      <alignment horizontal="right" shrinkToFit="1"/>
    </xf>
    <xf numFmtId="9" fontId="41" fillId="0" borderId="5" xfId="15" applyFont="1" applyFill="1" applyBorder="1" applyAlignment="1">
      <alignment horizontal="right" shrinkToFit="1"/>
    </xf>
    <xf numFmtId="3" fontId="26" fillId="0" borderId="4" xfId="14" applyNumberFormat="1" applyFont="1" applyBorder="1" applyAlignment="1">
      <alignment horizontal="left" vertical="center"/>
    </xf>
    <xf numFmtId="0" fontId="41" fillId="0" borderId="55" xfId="0" applyFont="1" applyBorder="1" applyAlignment="1">
      <alignment horizontal="right"/>
    </xf>
    <xf numFmtId="1" fontId="41" fillId="0" borderId="19" xfId="0" applyNumberFormat="1" applyFont="1" applyBorder="1" applyAlignment="1">
      <alignment horizontal="right" shrinkToFit="1"/>
    </xf>
    <xf numFmtId="0" fontId="41" fillId="0" borderId="57" xfId="0" applyFont="1" applyBorder="1" applyAlignment="1">
      <alignment horizontal="right" shrinkToFit="1"/>
    </xf>
    <xf numFmtId="0" fontId="10" fillId="0" borderId="46" xfId="0" applyFont="1" applyBorder="1" applyAlignment="1">
      <alignment horizontal="justify" vertical="top" wrapText="1"/>
    </xf>
    <xf numFmtId="0" fontId="31" fillId="0" borderId="0" xfId="0" applyFont="1" applyAlignment="1">
      <alignment vertical="center"/>
    </xf>
    <xf numFmtId="0" fontId="47" fillId="0" borderId="0" xfId="0" applyFont="1" applyAlignment="1">
      <alignment horizontal="left" vertical="center"/>
    </xf>
    <xf numFmtId="0" fontId="66" fillId="0" borderId="0" xfId="0" applyFont="1" applyAlignment="1">
      <alignment horizontal="left"/>
    </xf>
    <xf numFmtId="0" fontId="66" fillId="0" borderId="0" xfId="0" applyFont="1"/>
    <xf numFmtId="166" fontId="66" fillId="0" borderId="0" xfId="0" applyNumberFormat="1" applyFont="1" applyAlignment="1">
      <alignment horizontal="left"/>
    </xf>
    <xf numFmtId="166" fontId="31" fillId="0" borderId="0" xfId="0" applyNumberFormat="1" applyFont="1"/>
    <xf numFmtId="49" fontId="31" fillId="0" borderId="0" xfId="0" applyNumberFormat="1" applyFont="1" applyAlignment="1">
      <alignment horizontal="left"/>
    </xf>
    <xf numFmtId="49" fontId="31" fillId="0" borderId="0" xfId="0" applyNumberFormat="1" applyFont="1"/>
    <xf numFmtId="2" fontId="66" fillId="0" borderId="0" xfId="0" applyNumberFormat="1" applyFont="1" applyAlignment="1">
      <alignment horizontal="left"/>
    </xf>
    <xf numFmtId="0" fontId="31" fillId="0" borderId="36" xfId="0" applyFont="1" applyBorder="1" applyAlignment="1">
      <alignment vertical="center"/>
    </xf>
    <xf numFmtId="166" fontId="31" fillId="0" borderId="56" xfId="0" applyNumberFormat="1" applyFont="1" applyBorder="1" applyAlignment="1">
      <alignment horizontal="right"/>
    </xf>
    <xf numFmtId="1" fontId="31" fillId="0" borderId="53" xfId="0" applyNumberFormat="1" applyFont="1" applyBorder="1" applyAlignment="1">
      <alignment horizontal="right" shrinkToFit="1"/>
    </xf>
    <xf numFmtId="1" fontId="31" fillId="0" borderId="54" xfId="0" applyNumberFormat="1" applyFont="1" applyBorder="1" applyAlignment="1">
      <alignment horizontal="right" shrinkToFit="1"/>
    </xf>
    <xf numFmtId="166" fontId="31" fillId="0" borderId="54" xfId="0" applyNumberFormat="1" applyFont="1" applyBorder="1" applyAlignment="1">
      <alignment horizontal="right" shrinkToFit="1"/>
    </xf>
    <xf numFmtId="49" fontId="31" fillId="0" borderId="35" xfId="0" applyNumberFormat="1" applyFont="1" applyBorder="1" applyAlignment="1">
      <alignment horizontal="justify" vertical="center" wrapText="1"/>
    </xf>
    <xf numFmtId="0" fontId="31" fillId="0" borderId="35" xfId="0" applyFont="1" applyBorder="1" applyAlignment="1">
      <alignment horizontal="justify" vertical="top" wrapText="1"/>
    </xf>
    <xf numFmtId="3" fontId="31" fillId="0" borderId="16" xfId="0" applyNumberFormat="1" applyFont="1" applyBorder="1" applyAlignment="1">
      <alignment horizontal="right" shrinkToFit="1"/>
    </xf>
    <xf numFmtId="3" fontId="31" fillId="0" borderId="5" xfId="0" applyNumberFormat="1" applyFont="1" applyBorder="1" applyAlignment="1">
      <alignment horizontal="right" shrinkToFit="1"/>
    </xf>
    <xf numFmtId="1" fontId="31" fillId="0" borderId="16" xfId="0" applyNumberFormat="1" applyFont="1" applyBorder="1" applyAlignment="1">
      <alignment horizontal="right" shrinkToFit="1"/>
    </xf>
    <xf numFmtId="3" fontId="31" fillId="0" borderId="19" xfId="0" applyNumberFormat="1" applyFont="1" applyBorder="1" applyAlignment="1">
      <alignment horizontal="right" shrinkToFit="1"/>
    </xf>
    <xf numFmtId="49" fontId="31" fillId="0" borderId="6" xfId="0" applyNumberFormat="1" applyFont="1" applyBorder="1" applyAlignment="1">
      <alignment horizontal="justify" vertical="center" wrapText="1"/>
    </xf>
    <xf numFmtId="0" fontId="31" fillId="0" borderId="6" xfId="0" applyFont="1" applyBorder="1" applyAlignment="1">
      <alignment horizontal="justify" vertical="top" wrapText="1"/>
    </xf>
    <xf numFmtId="3" fontId="31" fillId="0" borderId="34" xfId="0" applyNumberFormat="1" applyFont="1" applyBorder="1" applyAlignment="1">
      <alignment horizontal="right" shrinkToFit="1"/>
    </xf>
    <xf numFmtId="0" fontId="26" fillId="0" borderId="6" xfId="0" applyFont="1" applyBorder="1" applyAlignment="1">
      <alignment horizontal="justify" vertical="center" wrapText="1"/>
    </xf>
    <xf numFmtId="0" fontId="26" fillId="0" borderId="56" xfId="0" applyFont="1" applyBorder="1" applyAlignment="1">
      <alignment horizontal="justify" vertical="top" wrapText="1"/>
    </xf>
    <xf numFmtId="166" fontId="31" fillId="0" borderId="56" xfId="0" applyNumberFormat="1" applyFont="1" applyBorder="1" applyAlignment="1">
      <alignment horizontal="right" shrinkToFit="1"/>
    </xf>
    <xf numFmtId="3" fontId="31" fillId="0" borderId="53" xfId="0" applyNumberFormat="1" applyFont="1" applyBorder="1" applyAlignment="1">
      <alignment horizontal="right" shrinkToFit="1"/>
    </xf>
    <xf numFmtId="3" fontId="31" fillId="0" borderId="56" xfId="0" applyNumberFormat="1" applyFont="1" applyBorder="1" applyAlignment="1">
      <alignment horizontal="right" shrinkToFit="1"/>
    </xf>
    <xf numFmtId="166" fontId="31" fillId="0" borderId="6" xfId="0" applyNumberFormat="1" applyFont="1" applyBorder="1" applyAlignment="1">
      <alignment horizontal="right" shrinkToFit="1"/>
    </xf>
    <xf numFmtId="3" fontId="31" fillId="0" borderId="72" xfId="0" applyNumberFormat="1" applyFont="1" applyBorder="1" applyAlignment="1">
      <alignment horizontal="right" shrinkToFit="1"/>
    </xf>
    <xf numFmtId="168" fontId="26" fillId="0" borderId="52" xfId="14" applyNumberFormat="1" applyFont="1" applyBorder="1" applyAlignment="1">
      <alignment horizontal="right" vertical="center" shrinkToFit="1"/>
    </xf>
    <xf numFmtId="0" fontId="31" fillId="0" borderId="74" xfId="0" applyFont="1" applyBorder="1" applyAlignment="1">
      <alignment horizontal="justify" vertical="top" wrapText="1"/>
    </xf>
    <xf numFmtId="4" fontId="31" fillId="0" borderId="5" xfId="0" applyNumberFormat="1" applyFont="1" applyBorder="1" applyAlignment="1">
      <alignment horizontal="right" shrinkToFit="1"/>
    </xf>
    <xf numFmtId="169" fontId="31" fillId="0" borderId="16" xfId="0" applyNumberFormat="1" applyFont="1" applyBorder="1" applyAlignment="1">
      <alignment horizontal="right" shrinkToFit="1"/>
    </xf>
    <xf numFmtId="0" fontId="31" fillId="0" borderId="62" xfId="0" applyFont="1" applyBorder="1" applyAlignment="1">
      <alignment horizontal="justify" vertical="top" wrapText="1"/>
    </xf>
    <xf numFmtId="0" fontId="31" fillId="0" borderId="61" xfId="0" applyFont="1" applyBorder="1" applyAlignment="1">
      <alignment horizontal="justify" vertical="top" wrapText="1"/>
    </xf>
    <xf numFmtId="3" fontId="31" fillId="0" borderId="38" xfId="0" applyNumberFormat="1" applyFont="1" applyBorder="1" applyAlignment="1">
      <alignment horizontal="right" shrinkToFit="1"/>
    </xf>
    <xf numFmtId="166" fontId="31" fillId="0" borderId="38" xfId="0" applyNumberFormat="1" applyFont="1" applyBorder="1" applyAlignment="1">
      <alignment horizontal="right" shrinkToFit="1"/>
    </xf>
    <xf numFmtId="166" fontId="31" fillId="0" borderId="16" xfId="0" applyNumberFormat="1" applyFont="1" applyBorder="1" applyAlignment="1">
      <alignment horizontal="right" shrinkToFit="1"/>
    </xf>
    <xf numFmtId="0" fontId="31" fillId="0" borderId="16" xfId="0" applyFont="1" applyBorder="1" applyAlignment="1">
      <alignment horizontal="right" shrinkToFit="1"/>
    </xf>
    <xf numFmtId="0" fontId="67" fillId="0" borderId="0" xfId="0" applyFont="1"/>
    <xf numFmtId="0" fontId="68" fillId="0" borderId="0" xfId="0" applyFont="1" applyAlignment="1">
      <alignment horizontal="left" vertical="center"/>
    </xf>
    <xf numFmtId="0" fontId="68" fillId="2" borderId="41" xfId="0" applyFont="1" applyFill="1" applyBorder="1" applyAlignment="1">
      <alignment horizontal="center" vertical="center"/>
    </xf>
    <xf numFmtId="3" fontId="32" fillId="4" borderId="48" xfId="14" applyNumberFormat="1" applyFont="1" applyFill="1" applyBorder="1" applyAlignment="1">
      <alignment horizontal="left" vertical="center"/>
    </xf>
    <xf numFmtId="0" fontId="10" fillId="0" borderId="0" xfId="14" applyFont="1" applyAlignment="1">
      <alignment horizontal="left" vertical="center"/>
    </xf>
    <xf numFmtId="169" fontId="31" fillId="0" borderId="38" xfId="0" applyNumberFormat="1" applyFont="1" applyBorder="1" applyAlignment="1">
      <alignment horizontal="right" shrinkToFit="1"/>
    </xf>
    <xf numFmtId="0" fontId="31" fillId="0" borderId="38" xfId="0" applyFont="1" applyBorder="1" applyAlignment="1">
      <alignment horizontal="right" shrinkToFit="1"/>
    </xf>
    <xf numFmtId="0" fontId="10" fillId="0" borderId="0" xfId="14" applyFont="1" applyAlignment="1">
      <alignment horizontal="left" vertical="center" wrapText="1"/>
    </xf>
    <xf numFmtId="0" fontId="10" fillId="0" borderId="0" xfId="0" applyFont="1"/>
    <xf numFmtId="0" fontId="69" fillId="0" borderId="0" xfId="0" applyFont="1"/>
    <xf numFmtId="0" fontId="31" fillId="0" borderId="55" xfId="0" applyFont="1" applyBorder="1" applyAlignment="1">
      <alignment horizontal="right" shrinkToFit="1"/>
    </xf>
    <xf numFmtId="0" fontId="31" fillId="0" borderId="46" xfId="0" applyFont="1" applyBorder="1" applyAlignment="1">
      <alignment horizontal="justify" vertical="top" wrapText="1"/>
    </xf>
    <xf numFmtId="168" fontId="42" fillId="4" borderId="66" xfId="0" applyNumberFormat="1" applyFont="1" applyFill="1" applyBorder="1" applyAlignment="1">
      <alignment horizontal="right" shrinkToFit="1"/>
    </xf>
    <xf numFmtId="168" fontId="42" fillId="4" borderId="67" xfId="0" applyNumberFormat="1" applyFont="1" applyFill="1" applyBorder="1" applyAlignment="1">
      <alignment horizontal="right" shrinkToFit="1"/>
    </xf>
    <xf numFmtId="166" fontId="42" fillId="4" borderId="40" xfId="14" applyNumberFormat="1" applyFont="1" applyFill="1" applyBorder="1" applyAlignment="1">
      <alignment horizontal="right" vertical="center" shrinkToFit="1"/>
    </xf>
    <xf numFmtId="0" fontId="42" fillId="4" borderId="11" xfId="14" applyFont="1" applyFill="1" applyBorder="1" applyAlignment="1">
      <alignment horizontal="right" vertical="center" shrinkToFit="1"/>
    </xf>
    <xf numFmtId="0" fontId="40" fillId="0" borderId="0" xfId="0" applyFont="1"/>
    <xf numFmtId="166" fontId="40" fillId="0" borderId="0" xfId="0" applyNumberFormat="1" applyFont="1"/>
    <xf numFmtId="49" fontId="40" fillId="0" borderId="0" xfId="0" applyNumberFormat="1" applyFont="1"/>
    <xf numFmtId="169" fontId="41" fillId="0" borderId="46" xfId="0" applyNumberFormat="1" applyFont="1" applyBorder="1" applyAlignment="1">
      <alignment horizontal="right" shrinkToFit="1"/>
    </xf>
    <xf numFmtId="166" fontId="41" fillId="0" borderId="46" xfId="0" applyNumberFormat="1" applyFont="1" applyBorder="1" applyAlignment="1">
      <alignment horizontal="right" shrinkToFit="1"/>
    </xf>
    <xf numFmtId="9" fontId="41" fillId="0" borderId="46" xfId="0" applyNumberFormat="1" applyFont="1" applyBorder="1" applyAlignment="1">
      <alignment horizontal="right" shrinkToFit="1"/>
    </xf>
    <xf numFmtId="3" fontId="41" fillId="0" borderId="46" xfId="0" applyNumberFormat="1" applyFont="1" applyBorder="1" applyAlignment="1">
      <alignment horizontal="right" shrinkToFit="1"/>
    </xf>
    <xf numFmtId="49" fontId="41" fillId="0" borderId="46" xfId="0" applyNumberFormat="1" applyFont="1" applyBorder="1" applyAlignment="1">
      <alignment horizontal="right" shrinkToFit="1"/>
    </xf>
    <xf numFmtId="168" fontId="43" fillId="4" borderId="8" xfId="14" applyNumberFormat="1" applyFont="1" applyFill="1" applyBorder="1" applyAlignment="1">
      <alignment horizontal="right" vertical="center" shrinkToFit="1"/>
    </xf>
    <xf numFmtId="168" fontId="43" fillId="0" borderId="9" xfId="14" applyNumberFormat="1" applyFont="1" applyBorder="1" applyAlignment="1">
      <alignment horizontal="right" vertical="center" shrinkToFit="1"/>
    </xf>
    <xf numFmtId="168" fontId="43" fillId="4" borderId="9" xfId="14" applyNumberFormat="1" applyFont="1" applyFill="1" applyBorder="1" applyAlignment="1">
      <alignment horizontal="right" vertical="center" shrinkToFit="1"/>
    </xf>
    <xf numFmtId="166" fontId="43" fillId="4" borderId="9" xfId="14" applyNumberFormat="1" applyFont="1" applyFill="1" applyBorder="1" applyAlignment="1">
      <alignment horizontal="right" vertical="center" shrinkToFit="1"/>
    </xf>
    <xf numFmtId="168" fontId="43" fillId="4" borderId="10" xfId="14" applyNumberFormat="1" applyFont="1" applyFill="1" applyBorder="1" applyAlignment="1">
      <alignment horizontal="right" vertical="center" shrinkToFit="1"/>
    </xf>
    <xf numFmtId="168" fontId="43" fillId="4" borderId="11" xfId="14" applyNumberFormat="1" applyFont="1" applyFill="1" applyBorder="1" applyAlignment="1">
      <alignment horizontal="right" vertical="center" shrinkToFit="1"/>
    </xf>
    <xf numFmtId="168" fontId="43" fillId="4" borderId="32" xfId="14" applyNumberFormat="1" applyFont="1" applyFill="1" applyBorder="1" applyAlignment="1">
      <alignment horizontal="right" vertical="center" shrinkToFit="1"/>
    </xf>
    <xf numFmtId="168" fontId="43" fillId="4" borderId="40" xfId="14" applyNumberFormat="1" applyFont="1" applyFill="1" applyBorder="1" applyAlignment="1">
      <alignment horizontal="right" vertical="center" shrinkToFit="1"/>
    </xf>
    <xf numFmtId="10" fontId="43" fillId="4" borderId="41" xfId="14" applyNumberFormat="1" applyFont="1" applyFill="1" applyBorder="1" applyAlignment="1">
      <alignment horizontal="right" vertical="center" shrinkToFit="1"/>
    </xf>
    <xf numFmtId="166" fontId="43" fillId="4" borderId="52" xfId="15" applyNumberFormat="1" applyFont="1" applyFill="1" applyBorder="1" applyAlignment="1">
      <alignment horizontal="right" vertical="center" shrinkToFit="1"/>
    </xf>
    <xf numFmtId="168" fontId="43" fillId="4" borderId="52" xfId="14" applyNumberFormat="1" applyFont="1" applyFill="1" applyBorder="1" applyAlignment="1">
      <alignment horizontal="right" vertical="center" shrinkToFit="1"/>
    </xf>
    <xf numFmtId="49" fontId="43" fillId="4" borderId="52" xfId="14" applyNumberFormat="1" applyFont="1" applyFill="1" applyBorder="1" applyAlignment="1">
      <alignment horizontal="right" vertical="center" shrinkToFit="1"/>
    </xf>
    <xf numFmtId="0" fontId="43" fillId="4" borderId="52" xfId="14" applyFont="1" applyFill="1" applyBorder="1" applyAlignment="1">
      <alignment horizontal="right" vertical="center" shrinkToFit="1"/>
    </xf>
    <xf numFmtId="0" fontId="41" fillId="0" borderId="0" xfId="0" applyFont="1"/>
    <xf numFmtId="166" fontId="41" fillId="0" borderId="0" xfId="0" applyNumberFormat="1" applyFont="1"/>
    <xf numFmtId="166" fontId="41" fillId="0" borderId="0" xfId="15" applyNumberFormat="1" applyFont="1"/>
    <xf numFmtId="49" fontId="41" fillId="0" borderId="0" xfId="0" applyNumberFormat="1" applyFont="1"/>
    <xf numFmtId="169" fontId="41" fillId="0" borderId="16" xfId="0" applyNumberFormat="1" applyFont="1" applyBorder="1" applyAlignment="1">
      <alignment horizontal="right" shrinkToFit="1"/>
    </xf>
    <xf numFmtId="169" fontId="41" fillId="0" borderId="5" xfId="0" applyNumberFormat="1" applyFont="1" applyBorder="1" applyAlignment="1">
      <alignment horizontal="right" shrinkToFit="1"/>
    </xf>
    <xf numFmtId="169" fontId="41" fillId="0" borderId="17" xfId="0" applyNumberFormat="1" applyFont="1" applyBorder="1" applyAlignment="1">
      <alignment horizontal="right" shrinkToFit="1"/>
    </xf>
    <xf numFmtId="49" fontId="41" fillId="0" borderId="5" xfId="0" applyNumberFormat="1" applyFont="1" applyBorder="1" applyAlignment="1">
      <alignment horizontal="right" shrinkToFit="1"/>
    </xf>
    <xf numFmtId="168" fontId="31" fillId="0" borderId="0" xfId="0" applyNumberFormat="1" applyFont="1"/>
    <xf numFmtId="168" fontId="41" fillId="0" borderId="56" xfId="0" applyNumberFormat="1" applyFont="1" applyBorder="1" applyAlignment="1">
      <alignment horizontal="right"/>
    </xf>
    <xf numFmtId="168" fontId="31" fillId="0" borderId="56" xfId="0" applyNumberFormat="1" applyFont="1" applyBorder="1" applyAlignment="1">
      <alignment horizontal="right" shrinkToFit="1"/>
    </xf>
    <xf numFmtId="168" fontId="41" fillId="0" borderId="7" xfId="0" applyNumberFormat="1" applyFont="1" applyBorder="1" applyAlignment="1">
      <alignment horizontal="right" shrinkToFit="1"/>
    </xf>
    <xf numFmtId="168" fontId="41" fillId="0" borderId="0" xfId="0" applyNumberFormat="1" applyFont="1"/>
    <xf numFmtId="168" fontId="31" fillId="0" borderId="16" xfId="0" applyNumberFormat="1" applyFont="1" applyBorder="1" applyAlignment="1">
      <alignment horizontal="right" shrinkToFit="1"/>
    </xf>
    <xf numFmtId="166" fontId="31" fillId="0" borderId="53" xfId="0" applyNumberFormat="1" applyFont="1" applyBorder="1" applyAlignment="1">
      <alignment horizontal="right"/>
    </xf>
    <xf numFmtId="0" fontId="26" fillId="0" borderId="53" xfId="0" applyFont="1" applyBorder="1" applyAlignment="1">
      <alignment horizontal="justify" vertical="top" wrapText="1"/>
    </xf>
    <xf numFmtId="3" fontId="26" fillId="4" borderId="3" xfId="14" applyNumberFormat="1" applyFont="1" applyFill="1" applyBorder="1" applyAlignment="1">
      <alignment horizontal="left" vertical="center"/>
    </xf>
    <xf numFmtId="3" fontId="31" fillId="0" borderId="13" xfId="0" applyNumberFormat="1" applyFont="1" applyBorder="1" applyAlignment="1">
      <alignment horizontal="right" shrinkToFit="1"/>
    </xf>
    <xf numFmtId="168" fontId="66" fillId="0" borderId="0" xfId="0" applyNumberFormat="1" applyFont="1" applyAlignment="1">
      <alignment horizontal="left"/>
    </xf>
    <xf numFmtId="168" fontId="41" fillId="0" borderId="54" xfId="0" applyNumberFormat="1" applyFont="1" applyBorder="1" applyAlignment="1">
      <alignment horizontal="right" shrinkToFit="1"/>
    </xf>
    <xf numFmtId="168" fontId="31" fillId="0" borderId="38" xfId="0" applyNumberFormat="1" applyFont="1" applyBorder="1" applyAlignment="1">
      <alignment horizontal="right" shrinkToFit="1"/>
    </xf>
    <xf numFmtId="168" fontId="41" fillId="0" borderId="56" xfId="15" applyNumberFormat="1" applyFont="1" applyBorder="1" applyAlignment="1">
      <alignment horizontal="right"/>
    </xf>
    <xf numFmtId="168" fontId="31" fillId="0" borderId="56" xfId="15" applyNumberFormat="1" applyFont="1" applyBorder="1" applyAlignment="1">
      <alignment horizontal="right" shrinkToFit="1"/>
    </xf>
    <xf numFmtId="168" fontId="43" fillId="4" borderId="52" xfId="15" applyNumberFormat="1" applyFont="1" applyFill="1" applyBorder="1" applyAlignment="1">
      <alignment horizontal="right" vertical="center" shrinkToFit="1"/>
    </xf>
    <xf numFmtId="168" fontId="41" fillId="0" borderId="0" xfId="15" applyNumberFormat="1" applyFont="1"/>
    <xf numFmtId="168" fontId="41" fillId="0" borderId="5" xfId="15" applyNumberFormat="1" applyFont="1" applyBorder="1" applyAlignment="1">
      <alignment horizontal="right" shrinkToFit="1"/>
    </xf>
    <xf numFmtId="168" fontId="40" fillId="0" borderId="0" xfId="0" applyNumberFormat="1" applyFont="1"/>
    <xf numFmtId="168" fontId="41" fillId="0" borderId="46" xfId="0" applyNumberFormat="1" applyFont="1" applyBorder="1" applyAlignment="1">
      <alignment horizontal="right" shrinkToFit="1"/>
    </xf>
    <xf numFmtId="168" fontId="41" fillId="0" borderId="54" xfId="0" applyNumberFormat="1" applyFont="1" applyBorder="1" applyAlignment="1">
      <alignment horizontal="right"/>
    </xf>
    <xf numFmtId="49" fontId="31" fillId="14" borderId="35" xfId="0" applyNumberFormat="1" applyFont="1" applyFill="1" applyBorder="1" applyAlignment="1">
      <alignment horizontal="justify" vertical="center" wrapText="1"/>
    </xf>
    <xf numFmtId="49" fontId="31" fillId="14" borderId="6" xfId="0" applyNumberFormat="1" applyFont="1" applyFill="1" applyBorder="1" applyAlignment="1">
      <alignment horizontal="justify" vertical="center" wrapText="1"/>
    </xf>
    <xf numFmtId="3" fontId="41" fillId="14" borderId="16" xfId="0" applyNumberFormat="1" applyFont="1" applyFill="1" applyBorder="1" applyAlignment="1">
      <alignment horizontal="right" shrinkToFit="1"/>
    </xf>
    <xf numFmtId="1" fontId="41" fillId="14" borderId="16" xfId="0" applyNumberFormat="1" applyFont="1" applyFill="1" applyBorder="1" applyAlignment="1">
      <alignment horizontal="right" shrinkToFit="1"/>
    </xf>
    <xf numFmtId="1" fontId="41" fillId="14" borderId="35" xfId="0" applyNumberFormat="1" applyFont="1" applyFill="1" applyBorder="1" applyAlignment="1">
      <alignment horizontal="right" shrinkToFit="1"/>
    </xf>
    <xf numFmtId="3" fontId="41" fillId="14" borderId="72" xfId="0" applyNumberFormat="1" applyFont="1" applyFill="1" applyBorder="1" applyAlignment="1">
      <alignment horizontal="right" shrinkToFit="1"/>
    </xf>
    <xf numFmtId="0" fontId="31" fillId="14" borderId="0" xfId="0" applyFont="1" applyFill="1"/>
    <xf numFmtId="0" fontId="10" fillId="14" borderId="35" xfId="0" applyFont="1" applyFill="1" applyBorder="1" applyAlignment="1">
      <alignment horizontal="justify" vertical="top" wrapText="1"/>
    </xf>
    <xf numFmtId="0" fontId="31" fillId="14" borderId="35" xfId="0" applyFont="1" applyFill="1" applyBorder="1" applyAlignment="1">
      <alignment horizontal="justify" vertical="top" wrapText="1"/>
    </xf>
    <xf numFmtId="3" fontId="41" fillId="14" borderId="5" xfId="0" applyNumberFormat="1" applyFont="1" applyFill="1" applyBorder="1" applyAlignment="1">
      <alignment horizontal="right" shrinkToFit="1"/>
    </xf>
    <xf numFmtId="168" fontId="41" fillId="0" borderId="35" xfId="15" applyNumberFormat="1" applyFont="1" applyFill="1" applyBorder="1" applyAlignment="1">
      <alignment horizontal="right" shrinkToFit="1"/>
    </xf>
    <xf numFmtId="1" fontId="66" fillId="0" borderId="0" xfId="0" applyNumberFormat="1" applyFont="1" applyAlignment="1">
      <alignment horizontal="left"/>
    </xf>
    <xf numFmtId="1" fontId="42" fillId="4" borderId="32" xfId="14" applyNumberFormat="1" applyFont="1" applyFill="1" applyBorder="1" applyAlignment="1">
      <alignment horizontal="right" vertical="center" shrinkToFit="1"/>
    </xf>
    <xf numFmtId="1" fontId="40" fillId="0" borderId="0" xfId="0" applyNumberFormat="1" applyFont="1"/>
    <xf numFmtId="1" fontId="41" fillId="0" borderId="46" xfId="0" applyNumberFormat="1" applyFont="1" applyBorder="1" applyAlignment="1">
      <alignment horizontal="right" shrinkToFit="1"/>
    </xf>
    <xf numFmtId="1" fontId="31" fillId="0" borderId="0" xfId="0" applyNumberFormat="1" applyFont="1"/>
    <xf numFmtId="1" fontId="31" fillId="0" borderId="62" xfId="0" applyNumberFormat="1" applyFont="1" applyBorder="1" applyAlignment="1">
      <alignment horizontal="right" shrinkToFit="1"/>
    </xf>
    <xf numFmtId="166" fontId="41" fillId="0" borderId="5" xfId="15" applyNumberFormat="1" applyFont="1" applyFill="1" applyBorder="1" applyAlignment="1">
      <alignment horizontal="right" shrinkToFit="1"/>
    </xf>
    <xf numFmtId="166" fontId="41" fillId="0" borderId="35" xfId="15" applyNumberFormat="1" applyFont="1" applyFill="1" applyBorder="1" applyAlignment="1">
      <alignment horizontal="right" shrinkToFit="1"/>
    </xf>
    <xf numFmtId="1" fontId="41" fillId="14" borderId="5" xfId="0" applyNumberFormat="1" applyFont="1" applyFill="1" applyBorder="1" applyAlignment="1">
      <alignment horizontal="right" shrinkToFit="1"/>
    </xf>
    <xf numFmtId="0" fontId="66" fillId="0" borderId="0" xfId="0" applyFont="1" applyAlignment="1">
      <alignment horizontal="left" vertical="center"/>
    </xf>
    <xf numFmtId="9" fontId="31" fillId="0" borderId="38" xfId="0" applyNumberFormat="1" applyFont="1" applyBorder="1" applyAlignment="1">
      <alignment horizontal="right" shrinkToFit="1"/>
    </xf>
    <xf numFmtId="9" fontId="31" fillId="0" borderId="16" xfId="0" applyNumberFormat="1" applyFont="1" applyBorder="1" applyAlignment="1">
      <alignment horizontal="right" shrinkToFit="1"/>
    </xf>
    <xf numFmtId="1" fontId="41" fillId="0" borderId="19" xfId="15" applyNumberFormat="1" applyFont="1" applyBorder="1" applyAlignment="1">
      <alignment horizontal="right" shrinkToFit="1"/>
    </xf>
    <xf numFmtId="1" fontId="31" fillId="0" borderId="38" xfId="0" applyNumberFormat="1" applyFont="1" applyBorder="1" applyAlignment="1">
      <alignment horizontal="right" shrinkToFit="1"/>
    </xf>
    <xf numFmtId="1" fontId="41" fillId="0" borderId="62" xfId="15" applyNumberFormat="1" applyFont="1" applyBorder="1" applyAlignment="1">
      <alignment horizontal="right" shrinkToFit="1"/>
    </xf>
    <xf numFmtId="1" fontId="41" fillId="0" borderId="19" xfId="15" applyNumberFormat="1" applyFont="1" applyFill="1" applyBorder="1" applyAlignment="1">
      <alignment horizontal="right" shrinkToFit="1"/>
    </xf>
    <xf numFmtId="166" fontId="41" fillId="14" borderId="19" xfId="15" applyNumberFormat="1" applyFont="1" applyFill="1" applyBorder="1" applyAlignment="1">
      <alignment horizontal="right" shrinkToFit="1"/>
    </xf>
    <xf numFmtId="166" fontId="41" fillId="0" borderId="19" xfId="15" applyNumberFormat="1" applyFont="1" applyFill="1" applyBorder="1" applyAlignment="1">
      <alignment horizontal="right" shrinkToFit="1"/>
    </xf>
    <xf numFmtId="166" fontId="41" fillId="14" borderId="5" xfId="0" applyNumberFormat="1" applyFont="1" applyFill="1" applyBorder="1" applyAlignment="1">
      <alignment horizontal="right" shrinkToFit="1"/>
    </xf>
    <xf numFmtId="9" fontId="0" fillId="0" borderId="0" xfId="15" applyFont="1"/>
    <xf numFmtId="9" fontId="50" fillId="0" borderId="0" xfId="15" applyFont="1"/>
    <xf numFmtId="0" fontId="70" fillId="0" borderId="0" xfId="0" applyFont="1" applyAlignment="1">
      <alignment vertical="center"/>
    </xf>
    <xf numFmtId="0" fontId="71" fillId="0" borderId="0" xfId="0" applyFont="1" applyAlignment="1">
      <alignment horizontal="left" vertical="center"/>
    </xf>
    <xf numFmtId="9" fontId="71" fillId="0" borderId="0" xfId="15" applyFont="1" applyAlignment="1">
      <alignment horizontal="left" vertical="center"/>
    </xf>
    <xf numFmtId="0" fontId="70" fillId="0" borderId="0" xfId="0" applyFont="1"/>
    <xf numFmtId="0" fontId="72" fillId="0" borderId="0" xfId="0" applyFont="1"/>
    <xf numFmtId="1" fontId="43" fillId="4" borderId="32" xfId="14" applyNumberFormat="1" applyFont="1" applyFill="1" applyBorder="1" applyAlignment="1">
      <alignment horizontal="right" vertical="center" shrinkToFit="1"/>
    </xf>
    <xf numFmtId="1" fontId="41" fillId="0" borderId="0" xfId="0" applyNumberFormat="1" applyFont="1"/>
    <xf numFmtId="0" fontId="41" fillId="0" borderId="51" xfId="0" applyFont="1" applyBorder="1" applyAlignment="1">
      <alignment horizontal="right" shrinkToFit="1"/>
    </xf>
    <xf numFmtId="1" fontId="41" fillId="14" borderId="35" xfId="15" applyNumberFormat="1" applyFont="1" applyFill="1" applyBorder="1" applyAlignment="1">
      <alignment horizontal="right" shrinkToFit="1"/>
    </xf>
    <xf numFmtId="1" fontId="41" fillId="0" borderId="35" xfId="15" applyNumberFormat="1" applyFont="1" applyFill="1" applyBorder="1" applyAlignment="1">
      <alignment horizontal="right" shrinkToFit="1"/>
    </xf>
    <xf numFmtId="3" fontId="31" fillId="0" borderId="99" xfId="0" applyNumberFormat="1" applyFont="1" applyBorder="1" applyAlignment="1">
      <alignment horizontal="right" shrinkToFit="1"/>
    </xf>
    <xf numFmtId="2" fontId="18" fillId="0" borderId="6" xfId="0" applyNumberFormat="1" applyFont="1" applyBorder="1" applyProtection="1">
      <protection locked="0"/>
    </xf>
    <xf numFmtId="2" fontId="0" fillId="0" borderId="0" xfId="0" applyNumberFormat="1" applyProtection="1">
      <protection locked="0"/>
    </xf>
    <xf numFmtId="2" fontId="18" fillId="4" borderId="9" xfId="0" applyNumberFormat="1" applyFont="1" applyFill="1" applyBorder="1" applyProtection="1">
      <protection locked="0"/>
    </xf>
    <xf numFmtId="0" fontId="28" fillId="15" borderId="98" xfId="0" applyFont="1" applyFill="1" applyBorder="1" applyAlignment="1">
      <alignment vertical="center" wrapText="1"/>
    </xf>
    <xf numFmtId="1" fontId="0" fillId="0" borderId="0" xfId="0" applyNumberFormat="1" applyProtection="1">
      <protection locked="0"/>
    </xf>
    <xf numFmtId="1" fontId="28" fillId="15" borderId="98" xfId="0" applyNumberFormat="1" applyFont="1" applyFill="1" applyBorder="1" applyAlignment="1">
      <alignment vertical="center" wrapText="1"/>
    </xf>
    <xf numFmtId="1" fontId="18" fillId="0" borderId="46" xfId="0" applyNumberFormat="1" applyFont="1" applyBorder="1" applyProtection="1">
      <protection locked="0"/>
    </xf>
    <xf numFmtId="0" fontId="31" fillId="0" borderId="0" xfId="0" applyFont="1" applyAlignment="1">
      <alignment vertical="center" wrapText="1"/>
    </xf>
    <xf numFmtId="0" fontId="47" fillId="0" borderId="0" xfId="0" applyFont="1" applyAlignment="1">
      <alignment horizontal="left" vertical="center" wrapText="1"/>
    </xf>
    <xf numFmtId="0" fontId="31" fillId="0" borderId="0" xfId="0" applyFont="1" applyAlignment="1">
      <alignment wrapText="1"/>
    </xf>
    <xf numFmtId="0" fontId="0" fillId="0" borderId="0" xfId="0" applyAlignment="1">
      <alignment wrapText="1"/>
    </xf>
    <xf numFmtId="168" fontId="31" fillId="0" borderId="0" xfId="0" applyNumberFormat="1" applyFont="1" applyAlignment="1">
      <alignment wrapText="1"/>
    </xf>
    <xf numFmtId="166" fontId="31" fillId="0" borderId="0" xfId="0" applyNumberFormat="1" applyFont="1" applyAlignment="1">
      <alignment wrapText="1"/>
    </xf>
    <xf numFmtId="0" fontId="66" fillId="0" borderId="0" xfId="0" applyFont="1" applyAlignment="1">
      <alignment horizontal="left" wrapText="1"/>
    </xf>
    <xf numFmtId="0" fontId="66" fillId="0" borderId="0" xfId="0" applyFont="1" applyAlignment="1">
      <alignment wrapText="1"/>
    </xf>
    <xf numFmtId="0" fontId="46" fillId="0" borderId="0" xfId="0" applyFont="1" applyAlignment="1">
      <alignment horizontal="left" wrapText="1"/>
    </xf>
    <xf numFmtId="168" fontId="66" fillId="0" borderId="0" xfId="0" applyNumberFormat="1" applyFont="1" applyAlignment="1">
      <alignment horizontal="left" wrapText="1"/>
    </xf>
    <xf numFmtId="166" fontId="66" fillId="0" borderId="0" xfId="0" applyNumberFormat="1" applyFont="1" applyAlignment="1">
      <alignment horizontal="left" wrapText="1"/>
    </xf>
    <xf numFmtId="0" fontId="66" fillId="0" borderId="0" xfId="0" applyFont="1" applyAlignment="1">
      <alignment horizontal="left" vertical="center" wrapText="1"/>
    </xf>
    <xf numFmtId="49" fontId="31" fillId="0" borderId="0" xfId="0" applyNumberFormat="1" applyFont="1" applyAlignment="1">
      <alignment horizontal="left" wrapText="1"/>
    </xf>
    <xf numFmtId="49" fontId="31" fillId="0" borderId="0" xfId="0" applyNumberFormat="1" applyFont="1" applyAlignment="1">
      <alignment wrapText="1"/>
    </xf>
    <xf numFmtId="2" fontId="66" fillId="0" borderId="0" xfId="0" applyNumberFormat="1" applyFont="1" applyAlignment="1">
      <alignment horizontal="left" wrapText="1"/>
    </xf>
    <xf numFmtId="2" fontId="46" fillId="0" borderId="0" xfId="0" applyNumberFormat="1" applyFont="1" applyAlignment="1">
      <alignment horizontal="left" wrapText="1"/>
    </xf>
    <xf numFmtId="0" fontId="47" fillId="0" borderId="7" xfId="0" applyFont="1" applyBorder="1" applyAlignment="1">
      <alignment horizontal="center" vertical="center" wrapText="1"/>
    </xf>
    <xf numFmtId="0" fontId="47" fillId="0" borderId="69" xfId="0" applyFont="1" applyBorder="1" applyAlignment="1">
      <alignment horizontal="center" vertical="center" wrapText="1"/>
    </xf>
    <xf numFmtId="0" fontId="47" fillId="2" borderId="41" xfId="0" applyFont="1" applyFill="1" applyBorder="1" applyAlignment="1">
      <alignment horizontal="center" vertical="center" wrapText="1"/>
    </xf>
    <xf numFmtId="0" fontId="31" fillId="0" borderId="36" xfId="0" applyFont="1" applyBorder="1" applyAlignment="1">
      <alignment vertical="center" wrapText="1"/>
    </xf>
    <xf numFmtId="166" fontId="31" fillId="0" borderId="56" xfId="0" applyNumberFormat="1" applyFont="1" applyBorder="1" applyAlignment="1">
      <alignment horizontal="right" wrapText="1"/>
    </xf>
    <xf numFmtId="1" fontId="41" fillId="0" borderId="53" xfId="0" applyNumberFormat="1" applyFont="1" applyBorder="1" applyAlignment="1">
      <alignment horizontal="right" wrapText="1" shrinkToFit="1"/>
    </xf>
    <xf numFmtId="1" fontId="41" fillId="0" borderId="54" xfId="0" applyNumberFormat="1" applyFont="1" applyBorder="1" applyAlignment="1">
      <alignment horizontal="right" wrapText="1" shrinkToFit="1"/>
    </xf>
    <xf numFmtId="168" fontId="41" fillId="0" borderId="54" xfId="0" applyNumberFormat="1" applyFont="1" applyBorder="1" applyAlignment="1">
      <alignment horizontal="right" wrapText="1" shrinkToFit="1"/>
    </xf>
    <xf numFmtId="166" fontId="41" fillId="0" borderId="54" xfId="0" applyNumberFormat="1" applyFont="1" applyBorder="1" applyAlignment="1">
      <alignment horizontal="right" wrapText="1" shrinkToFit="1"/>
    </xf>
    <xf numFmtId="2" fontId="41" fillId="0" borderId="53" xfId="0" applyNumberFormat="1" applyFont="1" applyBorder="1" applyAlignment="1">
      <alignment horizontal="right" wrapText="1"/>
    </xf>
    <xf numFmtId="166" fontId="41" fillId="0" borderId="54" xfId="0" applyNumberFormat="1" applyFont="1" applyBorder="1" applyAlignment="1">
      <alignment horizontal="right" wrapText="1"/>
    </xf>
    <xf numFmtId="1" fontId="41" fillId="0" borderId="56" xfId="0" applyNumberFormat="1" applyFont="1" applyBorder="1" applyAlignment="1">
      <alignment horizontal="right" wrapText="1" shrinkToFit="1"/>
    </xf>
    <xf numFmtId="1" fontId="41" fillId="0" borderId="55" xfId="0" applyNumberFormat="1" applyFont="1" applyBorder="1" applyAlignment="1">
      <alignment horizontal="right" wrapText="1" shrinkToFit="1"/>
    </xf>
    <xf numFmtId="3" fontId="41" fillId="0" borderId="17" xfId="0" applyNumberFormat="1" applyFont="1" applyBorder="1" applyAlignment="1">
      <alignment horizontal="right" wrapText="1" shrinkToFit="1"/>
    </xf>
    <xf numFmtId="3" fontId="41" fillId="0" borderId="18" xfId="0" applyNumberFormat="1" applyFont="1" applyBorder="1" applyAlignment="1">
      <alignment horizontal="right" wrapText="1" shrinkToFit="1"/>
    </xf>
    <xf numFmtId="1" fontId="41" fillId="0" borderId="54" xfId="0" applyNumberFormat="1" applyFont="1" applyBorder="1" applyAlignment="1">
      <alignment horizontal="right" wrapText="1"/>
    </xf>
    <xf numFmtId="1" fontId="41" fillId="0" borderId="55" xfId="0" applyNumberFormat="1" applyFont="1" applyBorder="1" applyAlignment="1">
      <alignment horizontal="right" wrapText="1"/>
    </xf>
    <xf numFmtId="166" fontId="41" fillId="0" borderId="56" xfId="0" applyNumberFormat="1" applyFont="1" applyBorder="1" applyAlignment="1">
      <alignment horizontal="right" wrapText="1"/>
    </xf>
    <xf numFmtId="9" fontId="41" fillId="0" borderId="56" xfId="15" applyFont="1" applyBorder="1" applyAlignment="1">
      <alignment horizontal="right" wrapText="1"/>
    </xf>
    <xf numFmtId="168" fontId="41" fillId="0" borderId="56" xfId="15" applyNumberFormat="1" applyFont="1" applyBorder="1" applyAlignment="1">
      <alignment horizontal="right" wrapText="1"/>
    </xf>
    <xf numFmtId="49" fontId="41" fillId="0" borderId="56" xfId="0" applyNumberFormat="1" applyFont="1" applyBorder="1" applyAlignment="1">
      <alignment horizontal="right" wrapText="1"/>
    </xf>
    <xf numFmtId="0" fontId="41" fillId="0" borderId="56" xfId="0" applyFont="1" applyBorder="1" applyAlignment="1">
      <alignment horizontal="right" wrapText="1"/>
    </xf>
    <xf numFmtId="49" fontId="31" fillId="0" borderId="29" xfId="0" applyNumberFormat="1" applyFont="1" applyBorder="1" applyAlignment="1" applyProtection="1">
      <alignment wrapText="1"/>
      <protection locked="0"/>
    </xf>
    <xf numFmtId="1" fontId="41" fillId="0" borderId="5" xfId="0" applyNumberFormat="1" applyFont="1" applyBorder="1" applyAlignment="1">
      <alignment horizontal="right" wrapText="1" shrinkToFit="1"/>
    </xf>
    <xf numFmtId="3" fontId="41" fillId="0" borderId="16" xfId="0" applyNumberFormat="1" applyFont="1" applyBorder="1" applyAlignment="1">
      <alignment horizontal="right" wrapText="1" shrinkToFit="1"/>
    </xf>
    <xf numFmtId="3" fontId="41" fillId="0" borderId="72" xfId="0" applyNumberFormat="1" applyFont="1" applyBorder="1" applyAlignment="1">
      <alignment horizontal="right" wrapText="1" shrinkToFit="1"/>
    </xf>
    <xf numFmtId="3" fontId="41" fillId="0" borderId="5" xfId="0" applyNumberFormat="1" applyFont="1" applyBorder="1" applyAlignment="1">
      <alignment horizontal="right" wrapText="1" shrinkToFit="1"/>
    </xf>
    <xf numFmtId="166" fontId="41" fillId="0" borderId="5" xfId="0" applyNumberFormat="1" applyFont="1" applyBorder="1" applyAlignment="1">
      <alignment horizontal="right" wrapText="1" shrinkToFit="1"/>
    </xf>
    <xf numFmtId="166" fontId="41" fillId="0" borderId="5" xfId="15" applyNumberFormat="1" applyFont="1" applyFill="1" applyBorder="1" applyAlignment="1">
      <alignment horizontal="right" wrapText="1" shrinkToFit="1"/>
    </xf>
    <xf numFmtId="1" fontId="41" fillId="0" borderId="16" xfId="0" applyNumberFormat="1" applyFont="1" applyBorder="1" applyAlignment="1">
      <alignment horizontal="right" wrapText="1" shrinkToFit="1"/>
    </xf>
    <xf numFmtId="1" fontId="41" fillId="0" borderId="18" xfId="0" applyNumberFormat="1" applyFont="1" applyBorder="1" applyAlignment="1">
      <alignment horizontal="right" wrapText="1" shrinkToFit="1"/>
    </xf>
    <xf numFmtId="3" fontId="41" fillId="0" borderId="19" xfId="0" applyNumberFormat="1" applyFont="1" applyBorder="1" applyAlignment="1">
      <alignment horizontal="right" wrapText="1" shrinkToFit="1"/>
    </xf>
    <xf numFmtId="3" fontId="41" fillId="0" borderId="51" xfId="0" applyNumberFormat="1" applyFont="1" applyBorder="1" applyAlignment="1">
      <alignment horizontal="right" wrapText="1" shrinkToFit="1"/>
    </xf>
    <xf numFmtId="2" fontId="41" fillId="0" borderId="16" xfId="0" applyNumberFormat="1" applyFont="1" applyBorder="1" applyAlignment="1">
      <alignment horizontal="right" wrapText="1" shrinkToFit="1"/>
    </xf>
    <xf numFmtId="2" fontId="41" fillId="0" borderId="5" xfId="0" applyNumberFormat="1" applyFont="1" applyBorder="1" applyAlignment="1">
      <alignment horizontal="right" wrapText="1" shrinkToFit="1"/>
    </xf>
    <xf numFmtId="166" fontId="41" fillId="0" borderId="35" xfId="0" applyNumberFormat="1" applyFont="1" applyBorder="1" applyAlignment="1">
      <alignment horizontal="right" wrapText="1" shrinkToFit="1"/>
    </xf>
    <xf numFmtId="166" fontId="41" fillId="0" borderId="35" xfId="15" applyNumberFormat="1" applyFont="1" applyFill="1" applyBorder="1" applyAlignment="1">
      <alignment horizontal="right" wrapText="1" shrinkToFit="1"/>
    </xf>
    <xf numFmtId="168" fontId="41" fillId="0" borderId="35" xfId="15" applyNumberFormat="1" applyFont="1" applyFill="1" applyBorder="1" applyAlignment="1">
      <alignment horizontal="right" wrapText="1" shrinkToFit="1"/>
    </xf>
    <xf numFmtId="1" fontId="41" fillId="0" borderId="35" xfId="0" applyNumberFormat="1" applyFont="1" applyBorder="1" applyAlignment="1">
      <alignment horizontal="right" wrapText="1" shrinkToFit="1"/>
    </xf>
    <xf numFmtId="0" fontId="41" fillId="0" borderId="35" xfId="0" applyFont="1" applyBorder="1" applyAlignment="1">
      <alignment horizontal="right" wrapText="1" shrinkToFit="1"/>
    </xf>
    <xf numFmtId="1" fontId="31" fillId="0" borderId="6" xfId="0" applyNumberFormat="1" applyFont="1" applyBorder="1" applyAlignment="1" applyProtection="1">
      <alignment wrapText="1"/>
      <protection locked="0"/>
    </xf>
    <xf numFmtId="166" fontId="41" fillId="0" borderId="5" xfId="15" applyNumberFormat="1" applyFont="1" applyBorder="1" applyAlignment="1">
      <alignment horizontal="right" wrapText="1" shrinkToFit="1"/>
    </xf>
    <xf numFmtId="3" fontId="26" fillId="3" borderId="42" xfId="6" applyNumberFormat="1" applyFont="1" applyFill="1" applyBorder="1" applyAlignment="1">
      <alignment horizontal="right" vertical="center" wrapText="1"/>
    </xf>
    <xf numFmtId="3" fontId="26" fillId="3" borderId="75" xfId="6" applyNumberFormat="1" applyFont="1" applyFill="1" applyBorder="1" applyAlignment="1">
      <alignment horizontal="right" wrapText="1" shrinkToFit="1"/>
    </xf>
    <xf numFmtId="2" fontId="31" fillId="4" borderId="41" xfId="0" applyNumberFormat="1" applyFont="1" applyFill="1" applyBorder="1" applyAlignment="1" applyProtection="1">
      <alignment wrapText="1"/>
      <protection locked="0"/>
    </xf>
    <xf numFmtId="166" fontId="31" fillId="0" borderId="56" xfId="0" applyNumberFormat="1" applyFont="1" applyBorder="1" applyAlignment="1">
      <alignment horizontal="right" wrapText="1" shrinkToFit="1"/>
    </xf>
    <xf numFmtId="3" fontId="31" fillId="0" borderId="53" xfId="0" applyNumberFormat="1" applyFont="1" applyBorder="1" applyAlignment="1">
      <alignment horizontal="right" wrapText="1" shrinkToFit="1"/>
    </xf>
    <xf numFmtId="1" fontId="31" fillId="0" borderId="54" xfId="0" applyNumberFormat="1" applyFont="1" applyBorder="1" applyAlignment="1">
      <alignment horizontal="right" wrapText="1" shrinkToFit="1"/>
    </xf>
    <xf numFmtId="1" fontId="31" fillId="0" borderId="53" xfId="0" applyNumberFormat="1" applyFont="1" applyBorder="1" applyAlignment="1">
      <alignment horizontal="right" wrapText="1" shrinkToFit="1"/>
    </xf>
    <xf numFmtId="166" fontId="31" fillId="0" borderId="54" xfId="0" applyNumberFormat="1" applyFont="1" applyBorder="1" applyAlignment="1">
      <alignment horizontal="right" wrapText="1" shrinkToFit="1"/>
    </xf>
    <xf numFmtId="9" fontId="41" fillId="0" borderId="5" xfId="15" applyFont="1" applyBorder="1" applyAlignment="1">
      <alignment horizontal="right" wrapText="1" shrinkToFit="1"/>
    </xf>
    <xf numFmtId="166" fontId="41" fillId="0" borderId="35" xfId="15" applyNumberFormat="1" applyFont="1" applyBorder="1" applyAlignment="1">
      <alignment horizontal="right" wrapText="1" shrinkToFit="1"/>
    </xf>
    <xf numFmtId="168" fontId="31" fillId="0" borderId="56" xfId="15" applyNumberFormat="1" applyFont="1" applyBorder="1" applyAlignment="1">
      <alignment horizontal="right" wrapText="1" shrinkToFit="1"/>
    </xf>
    <xf numFmtId="2" fontId="31" fillId="0" borderId="36" xfId="0" applyNumberFormat="1" applyFont="1" applyBorder="1" applyAlignment="1" applyProtection="1">
      <alignment wrapText="1"/>
      <protection locked="0"/>
    </xf>
    <xf numFmtId="1" fontId="41" fillId="14" borderId="35" xfId="0" applyNumberFormat="1" applyFont="1" applyFill="1" applyBorder="1" applyAlignment="1">
      <alignment horizontal="right" wrapText="1" shrinkToFit="1"/>
    </xf>
    <xf numFmtId="3" fontId="41" fillId="14" borderId="16" xfId="0" applyNumberFormat="1" applyFont="1" applyFill="1" applyBorder="1" applyAlignment="1">
      <alignment horizontal="right" wrapText="1" shrinkToFit="1"/>
    </xf>
    <xf numFmtId="3" fontId="41" fillId="14" borderId="72" xfId="0" applyNumberFormat="1" applyFont="1" applyFill="1" applyBorder="1" applyAlignment="1">
      <alignment horizontal="right" wrapText="1" shrinkToFit="1"/>
    </xf>
    <xf numFmtId="3" fontId="41" fillId="14" borderId="5" xfId="0" applyNumberFormat="1" applyFont="1" applyFill="1" applyBorder="1" applyAlignment="1">
      <alignment horizontal="right" wrapText="1" shrinkToFit="1"/>
    </xf>
    <xf numFmtId="1" fontId="41" fillId="14" borderId="5" xfId="0" applyNumberFormat="1" applyFont="1" applyFill="1" applyBorder="1" applyAlignment="1">
      <alignment horizontal="right" wrapText="1" shrinkToFit="1"/>
    </xf>
    <xf numFmtId="166" fontId="41" fillId="14" borderId="5" xfId="0" applyNumberFormat="1" applyFont="1" applyFill="1" applyBorder="1" applyAlignment="1">
      <alignment horizontal="right" wrapText="1" shrinkToFit="1"/>
    </xf>
    <xf numFmtId="1" fontId="41" fillId="14" borderId="16" xfId="0" applyNumberFormat="1" applyFont="1" applyFill="1" applyBorder="1" applyAlignment="1">
      <alignment horizontal="right" wrapText="1" shrinkToFit="1"/>
    </xf>
    <xf numFmtId="1" fontId="41" fillId="14" borderId="35" xfId="15" applyNumberFormat="1" applyFont="1" applyFill="1" applyBorder="1" applyAlignment="1">
      <alignment horizontal="right" wrapText="1" shrinkToFit="1"/>
    </xf>
    <xf numFmtId="0" fontId="31" fillId="14" borderId="0" xfId="0" applyFont="1" applyFill="1" applyAlignment="1">
      <alignment wrapText="1"/>
    </xf>
    <xf numFmtId="1" fontId="31" fillId="14" borderId="6" xfId="0" applyNumberFormat="1" applyFont="1" applyFill="1" applyBorder="1" applyAlignment="1" applyProtection="1">
      <alignment wrapText="1"/>
      <protection locked="0"/>
    </xf>
    <xf numFmtId="1" fontId="41" fillId="0" borderId="35" xfId="15" applyNumberFormat="1" applyFont="1" applyFill="1" applyBorder="1" applyAlignment="1">
      <alignment horizontal="right" wrapText="1" shrinkToFit="1"/>
    </xf>
    <xf numFmtId="3" fontId="31" fillId="0" borderId="16" xfId="0" applyNumberFormat="1" applyFont="1" applyBorder="1" applyAlignment="1">
      <alignment horizontal="right" wrapText="1" shrinkToFit="1"/>
    </xf>
    <xf numFmtId="9" fontId="41" fillId="0" borderId="5" xfId="15" applyFont="1" applyFill="1" applyBorder="1" applyAlignment="1">
      <alignment horizontal="right" wrapText="1" shrinkToFit="1"/>
    </xf>
    <xf numFmtId="168" fontId="41" fillId="0" borderId="5" xfId="0" applyNumberFormat="1" applyFont="1" applyBorder="1" applyAlignment="1">
      <alignment horizontal="right" wrapText="1" shrinkToFit="1"/>
    </xf>
    <xf numFmtId="3" fontId="31" fillId="0" borderId="19" xfId="0" applyNumberFormat="1" applyFont="1" applyBorder="1" applyAlignment="1">
      <alignment horizontal="right" wrapText="1" shrinkToFit="1"/>
    </xf>
    <xf numFmtId="3" fontId="26" fillId="4" borderId="49" xfId="14" applyNumberFormat="1" applyFont="1" applyFill="1" applyBorder="1" applyAlignment="1">
      <alignment horizontal="left" vertical="center" wrapText="1"/>
    </xf>
    <xf numFmtId="3" fontId="42" fillId="4" borderId="79" xfId="14" applyNumberFormat="1" applyFont="1" applyFill="1" applyBorder="1" applyAlignment="1">
      <alignment horizontal="right" vertical="center" wrapText="1" shrinkToFit="1"/>
    </xf>
    <xf numFmtId="168" fontId="42" fillId="4" borderId="75" xfId="6" applyNumberFormat="1" applyFont="1" applyFill="1" applyBorder="1" applyAlignment="1">
      <alignment horizontal="right" wrapText="1" shrinkToFit="1"/>
    </xf>
    <xf numFmtId="2" fontId="31" fillId="4" borderId="46" xfId="0" applyNumberFormat="1" applyFont="1" applyFill="1" applyBorder="1" applyAlignment="1" applyProtection="1">
      <alignment wrapText="1"/>
      <protection locked="0"/>
    </xf>
    <xf numFmtId="3" fontId="26" fillId="4" borderId="42" xfId="6" applyNumberFormat="1" applyFont="1" applyFill="1" applyBorder="1" applyAlignment="1">
      <alignment horizontal="left" vertical="center" wrapText="1"/>
    </xf>
    <xf numFmtId="3" fontId="26" fillId="4" borderId="48" xfId="14" applyNumberFormat="1" applyFont="1" applyFill="1" applyBorder="1" applyAlignment="1">
      <alignment horizontal="left" vertical="center" wrapText="1"/>
    </xf>
    <xf numFmtId="3" fontId="26" fillId="0" borderId="4" xfId="14" applyNumberFormat="1" applyFont="1" applyBorder="1" applyAlignment="1">
      <alignment horizontal="left" vertical="center" wrapText="1"/>
    </xf>
    <xf numFmtId="168" fontId="26" fillId="0" borderId="52" xfId="14" applyNumberFormat="1" applyFont="1" applyBorder="1" applyAlignment="1">
      <alignment horizontal="right" vertical="center" wrapText="1" shrinkToFit="1"/>
    </xf>
    <xf numFmtId="168" fontId="43" fillId="4" borderId="8" xfId="14" applyNumberFormat="1" applyFont="1" applyFill="1" applyBorder="1" applyAlignment="1">
      <alignment horizontal="right" vertical="center" wrapText="1" shrinkToFit="1"/>
    </xf>
    <xf numFmtId="168" fontId="43" fillId="0" borderId="9" xfId="14" applyNumberFormat="1" applyFont="1" applyBorder="1" applyAlignment="1">
      <alignment horizontal="right" vertical="center" wrapText="1" shrinkToFit="1"/>
    </xf>
    <xf numFmtId="168" fontId="43" fillId="4" borderId="9" xfId="14" applyNumberFormat="1" applyFont="1" applyFill="1" applyBorder="1" applyAlignment="1">
      <alignment horizontal="right" vertical="center" wrapText="1" shrinkToFit="1"/>
    </xf>
    <xf numFmtId="168" fontId="42" fillId="4" borderId="11" xfId="14" applyNumberFormat="1" applyFont="1" applyFill="1" applyBorder="1" applyAlignment="1">
      <alignment horizontal="right" vertical="center" wrapText="1" shrinkToFit="1"/>
    </xf>
    <xf numFmtId="166" fontId="43" fillId="4" borderId="9" xfId="14" applyNumberFormat="1" applyFont="1" applyFill="1" applyBorder="1" applyAlignment="1">
      <alignment horizontal="right" vertical="center" wrapText="1" shrinkToFit="1"/>
    </xf>
    <xf numFmtId="168" fontId="43" fillId="4" borderId="10" xfId="14" applyNumberFormat="1" applyFont="1" applyFill="1" applyBorder="1" applyAlignment="1">
      <alignment horizontal="right" vertical="center" wrapText="1" shrinkToFit="1"/>
    </xf>
    <xf numFmtId="168" fontId="43" fillId="4" borderId="11" xfId="14" applyNumberFormat="1" applyFont="1" applyFill="1" applyBorder="1" applyAlignment="1">
      <alignment horizontal="right" vertical="center" wrapText="1" shrinkToFit="1"/>
    </xf>
    <xf numFmtId="168" fontId="43" fillId="4" borderId="32" xfId="14" applyNumberFormat="1" applyFont="1" applyFill="1" applyBorder="1" applyAlignment="1">
      <alignment horizontal="right" vertical="center" wrapText="1" shrinkToFit="1"/>
    </xf>
    <xf numFmtId="168" fontId="43" fillId="4" borderId="40" xfId="14" applyNumberFormat="1" applyFont="1" applyFill="1" applyBorder="1" applyAlignment="1">
      <alignment horizontal="right" vertical="center" wrapText="1" shrinkToFit="1"/>
    </xf>
    <xf numFmtId="168" fontId="43" fillId="4" borderId="66" xfId="0" applyNumberFormat="1" applyFont="1" applyFill="1" applyBorder="1" applyAlignment="1">
      <alignment horizontal="right" wrapText="1" shrinkToFit="1"/>
    </xf>
    <xf numFmtId="10" fontId="43" fillId="4" borderId="41" xfId="14" applyNumberFormat="1" applyFont="1" applyFill="1" applyBorder="1" applyAlignment="1">
      <alignment horizontal="right" vertical="center" wrapText="1" shrinkToFit="1"/>
    </xf>
    <xf numFmtId="166" fontId="43" fillId="4" borderId="52" xfId="15" applyNumberFormat="1" applyFont="1" applyFill="1" applyBorder="1" applyAlignment="1">
      <alignment horizontal="right" vertical="center" wrapText="1" shrinkToFit="1"/>
    </xf>
    <xf numFmtId="168" fontId="43" fillId="4" borderId="52" xfId="15" applyNumberFormat="1" applyFont="1" applyFill="1" applyBorder="1" applyAlignment="1">
      <alignment horizontal="right" vertical="center" wrapText="1" shrinkToFit="1"/>
    </xf>
    <xf numFmtId="168" fontId="43" fillId="4" borderId="52" xfId="14" applyNumberFormat="1" applyFont="1" applyFill="1" applyBorder="1" applyAlignment="1">
      <alignment horizontal="right" vertical="center" wrapText="1" shrinkToFit="1"/>
    </xf>
    <xf numFmtId="49" fontId="43" fillId="4" borderId="52" xfId="14" applyNumberFormat="1" applyFont="1" applyFill="1" applyBorder="1" applyAlignment="1">
      <alignment horizontal="right" vertical="center" wrapText="1" shrinkToFit="1"/>
    </xf>
    <xf numFmtId="0" fontId="43" fillId="4" borderId="52" xfId="14" applyFont="1" applyFill="1" applyBorder="1" applyAlignment="1">
      <alignment horizontal="right" vertical="center" wrapText="1" shrinkToFit="1"/>
    </xf>
    <xf numFmtId="0" fontId="41" fillId="0" borderId="0" xfId="0" applyFont="1" applyAlignment="1">
      <alignment wrapText="1"/>
    </xf>
    <xf numFmtId="168" fontId="41" fillId="0" borderId="0" xfId="0" applyNumberFormat="1" applyFont="1" applyAlignment="1">
      <alignment wrapText="1"/>
    </xf>
    <xf numFmtId="166" fontId="41" fillId="0" borderId="0" xfId="0" applyNumberFormat="1" applyFont="1" applyAlignment="1">
      <alignment wrapText="1"/>
    </xf>
    <xf numFmtId="166" fontId="41" fillId="0" borderId="0" xfId="15" applyNumberFormat="1" applyFont="1" applyAlignment="1">
      <alignment wrapText="1"/>
    </xf>
    <xf numFmtId="168" fontId="41" fillId="0" borderId="0" xfId="15" applyNumberFormat="1" applyFont="1" applyAlignment="1">
      <alignment wrapText="1"/>
    </xf>
    <xf numFmtId="49" fontId="41" fillId="0" borderId="0" xfId="0" applyNumberFormat="1" applyFont="1" applyAlignment="1">
      <alignment wrapText="1"/>
    </xf>
    <xf numFmtId="4" fontId="31" fillId="0" borderId="5" xfId="0" applyNumberFormat="1" applyFont="1" applyBorder="1" applyAlignment="1">
      <alignment horizontal="right" wrapText="1" shrinkToFit="1"/>
    </xf>
    <xf numFmtId="169" fontId="41" fillId="0" borderId="16" xfId="0" applyNumberFormat="1" applyFont="1" applyBorder="1" applyAlignment="1">
      <alignment horizontal="right" wrapText="1" shrinkToFit="1"/>
    </xf>
    <xf numFmtId="169" fontId="41" fillId="0" borderId="5" xfId="0" applyNumberFormat="1" applyFont="1" applyBorder="1" applyAlignment="1">
      <alignment horizontal="right" wrapText="1" shrinkToFit="1"/>
    </xf>
    <xf numFmtId="3" fontId="0" fillId="0" borderId="5" xfId="0" applyNumberFormat="1" applyBorder="1" applyAlignment="1">
      <alignment horizontal="right" wrapText="1" shrinkToFit="1"/>
    </xf>
    <xf numFmtId="169" fontId="41" fillId="0" borderId="17" xfId="0" applyNumberFormat="1" applyFont="1" applyBorder="1" applyAlignment="1">
      <alignment horizontal="right" wrapText="1" shrinkToFit="1"/>
    </xf>
    <xf numFmtId="168" fontId="41" fillId="0" borderId="5" xfId="15" applyNumberFormat="1" applyFont="1" applyBorder="1" applyAlignment="1">
      <alignment horizontal="right" wrapText="1" shrinkToFit="1"/>
    </xf>
    <xf numFmtId="49" fontId="41" fillId="0" borderId="5" xfId="0" applyNumberFormat="1" applyFont="1" applyBorder="1" applyAlignment="1">
      <alignment horizontal="right" wrapText="1" shrinkToFit="1"/>
    </xf>
    <xf numFmtId="3" fontId="31" fillId="0" borderId="38" xfId="0" applyNumberFormat="1" applyFont="1" applyBorder="1" applyAlignment="1">
      <alignment horizontal="right" wrapText="1" shrinkToFit="1"/>
    </xf>
    <xf numFmtId="3" fontId="0" fillId="0" borderId="38" xfId="0" applyNumberFormat="1" applyBorder="1" applyAlignment="1">
      <alignment horizontal="right" wrapText="1" shrinkToFit="1"/>
    </xf>
    <xf numFmtId="166" fontId="31" fillId="0" borderId="38" xfId="0" applyNumberFormat="1" applyFont="1" applyBorder="1" applyAlignment="1">
      <alignment horizontal="right" wrapText="1" shrinkToFit="1"/>
    </xf>
    <xf numFmtId="9" fontId="31" fillId="0" borderId="38" xfId="0" applyNumberFormat="1" applyFont="1" applyBorder="1" applyAlignment="1">
      <alignment horizontal="right" wrapText="1" shrinkToFit="1"/>
    </xf>
    <xf numFmtId="166" fontId="31" fillId="0" borderId="16" xfId="0" applyNumberFormat="1" applyFont="1" applyBorder="1" applyAlignment="1">
      <alignment horizontal="right" wrapText="1" shrinkToFit="1"/>
    </xf>
    <xf numFmtId="169" fontId="31" fillId="0" borderId="16" xfId="0" applyNumberFormat="1" applyFont="1" applyBorder="1" applyAlignment="1">
      <alignment horizontal="right" wrapText="1" shrinkToFit="1"/>
    </xf>
    <xf numFmtId="9" fontId="31" fillId="0" borderId="16" xfId="0" applyNumberFormat="1" applyFont="1" applyBorder="1" applyAlignment="1">
      <alignment horizontal="right" wrapText="1" shrinkToFit="1"/>
    </xf>
    <xf numFmtId="0" fontId="31" fillId="0" borderId="16" xfId="0" applyFont="1" applyBorder="1" applyAlignment="1">
      <alignment horizontal="right" wrapText="1" shrinkToFit="1"/>
    </xf>
    <xf numFmtId="3" fontId="0" fillId="0" borderId="16" xfId="0" applyNumberFormat="1" applyBorder="1" applyAlignment="1">
      <alignment horizontal="right" wrapText="1" shrinkToFit="1"/>
    </xf>
    <xf numFmtId="0" fontId="67" fillId="0" borderId="0" xfId="0" applyFont="1" applyAlignment="1">
      <alignment wrapText="1"/>
    </xf>
    <xf numFmtId="168" fontId="43" fillId="0" borderId="66" xfId="0" applyNumberFormat="1" applyFont="1" applyBorder="1" applyAlignment="1">
      <alignment horizontal="right" shrinkToFit="1"/>
    </xf>
    <xf numFmtId="168" fontId="43" fillId="0" borderId="67" xfId="0" applyNumberFormat="1" applyFont="1" applyBorder="1" applyAlignment="1">
      <alignment horizontal="right" shrinkToFit="1"/>
    </xf>
    <xf numFmtId="2" fontId="41" fillId="0" borderId="54" xfId="0" applyNumberFormat="1" applyFont="1" applyBorder="1" applyAlignment="1">
      <alignment horizontal="right" wrapText="1"/>
    </xf>
    <xf numFmtId="168" fontId="43" fillId="0" borderId="66" xfId="0" applyNumberFormat="1" applyFont="1" applyBorder="1" applyAlignment="1">
      <alignment horizontal="right" wrapText="1" shrinkToFit="1"/>
    </xf>
    <xf numFmtId="168" fontId="43" fillId="0" borderId="67" xfId="0" applyNumberFormat="1" applyFont="1" applyBorder="1" applyAlignment="1">
      <alignment horizontal="right" wrapText="1" shrinkToFit="1"/>
    </xf>
    <xf numFmtId="1" fontId="31" fillId="0" borderId="62" xfId="0" applyNumberFormat="1" applyFont="1" applyBorder="1" applyAlignment="1">
      <alignment horizontal="right" wrapText="1" shrinkToFit="1"/>
    </xf>
    <xf numFmtId="1" fontId="31" fillId="0" borderId="0" xfId="0" applyNumberFormat="1" applyFont="1" applyAlignment="1">
      <alignment wrapText="1"/>
    </xf>
    <xf numFmtId="1" fontId="66" fillId="0" borderId="0" xfId="0" applyNumberFormat="1" applyFont="1" applyAlignment="1">
      <alignment horizontal="left" wrapText="1"/>
    </xf>
    <xf numFmtId="166" fontId="41" fillId="0" borderId="19" xfId="15" applyNumberFormat="1" applyFont="1" applyFill="1" applyBorder="1" applyAlignment="1">
      <alignment horizontal="right" wrapText="1" shrinkToFit="1"/>
    </xf>
    <xf numFmtId="1" fontId="41" fillId="0" borderId="19" xfId="15" applyNumberFormat="1" applyFont="1" applyFill="1" applyBorder="1" applyAlignment="1">
      <alignment horizontal="right" wrapText="1" shrinkToFit="1"/>
    </xf>
    <xf numFmtId="166" fontId="41" fillId="14" borderId="19" xfId="15" applyNumberFormat="1" applyFont="1" applyFill="1" applyBorder="1" applyAlignment="1">
      <alignment horizontal="right" wrapText="1" shrinkToFit="1"/>
    </xf>
    <xf numFmtId="1" fontId="43" fillId="4" borderId="32" xfId="14" applyNumberFormat="1" applyFont="1" applyFill="1" applyBorder="1" applyAlignment="1">
      <alignment horizontal="right" vertical="center" wrapText="1" shrinkToFit="1"/>
    </xf>
    <xf numFmtId="1" fontId="41" fillId="0" borderId="0" xfId="0" applyNumberFormat="1" applyFont="1" applyAlignment="1">
      <alignment wrapText="1"/>
    </xf>
    <xf numFmtId="1" fontId="31" fillId="0" borderId="38" xfId="0" applyNumberFormat="1" applyFont="1" applyBorder="1" applyAlignment="1">
      <alignment horizontal="right" wrapText="1" shrinkToFit="1"/>
    </xf>
    <xf numFmtId="1" fontId="31" fillId="0" borderId="16" xfId="0" applyNumberFormat="1" applyFont="1" applyBorder="1" applyAlignment="1">
      <alignment horizontal="right" wrapText="1" shrinkToFit="1"/>
    </xf>
    <xf numFmtId="0" fontId="54" fillId="0" borderId="0" xfId="0" applyFont="1"/>
    <xf numFmtId="0" fontId="58" fillId="16" borderId="93" xfId="0" applyFont="1" applyFill="1" applyBorder="1" applyAlignment="1">
      <alignment horizontal="center" vertical="center" wrapText="1"/>
    </xf>
    <xf numFmtId="0" fontId="58" fillId="16" borderId="87" xfId="0" applyFont="1" applyFill="1" applyBorder="1" applyAlignment="1">
      <alignment horizontal="center" vertical="center" wrapText="1"/>
    </xf>
    <xf numFmtId="3" fontId="60" fillId="16" borderId="48" xfId="14" applyNumberFormat="1" applyFont="1" applyFill="1" applyBorder="1" applyAlignment="1">
      <alignment vertical="center"/>
    </xf>
    <xf numFmtId="3" fontId="60" fillId="16" borderId="8" xfId="14" applyNumberFormat="1" applyFont="1" applyFill="1" applyBorder="1" applyAlignment="1">
      <alignment horizontal="right" vertical="center"/>
    </xf>
    <xf numFmtId="4" fontId="60" fillId="16" borderId="11" xfId="14" applyNumberFormat="1" applyFont="1" applyFill="1" applyBorder="1" applyAlignment="1">
      <alignment horizontal="right" vertical="center"/>
    </xf>
    <xf numFmtId="3" fontId="60" fillId="16" borderId="48" xfId="14" applyNumberFormat="1" applyFont="1" applyFill="1" applyBorder="1" applyAlignment="1">
      <alignment horizontal="right" vertical="center"/>
    </xf>
    <xf numFmtId="3" fontId="60" fillId="16" borderId="28" xfId="14" applyNumberFormat="1" applyFont="1" applyFill="1" applyBorder="1" applyAlignment="1">
      <alignment vertical="center"/>
    </xf>
    <xf numFmtId="3" fontId="60" fillId="16" borderId="75" xfId="6" applyNumberFormat="1" applyFont="1" applyFill="1" applyBorder="1" applyAlignment="1">
      <alignment horizontal="right"/>
    </xf>
    <xf numFmtId="3" fontId="60" fillId="16" borderId="59" xfId="6" applyNumberFormat="1" applyFont="1" applyFill="1" applyBorder="1" applyAlignment="1">
      <alignment horizontal="right"/>
    </xf>
    <xf numFmtId="3" fontId="60" fillId="16" borderId="60" xfId="6" applyNumberFormat="1" applyFont="1" applyFill="1" applyBorder="1" applyAlignment="1">
      <alignment horizontal="right"/>
    </xf>
    <xf numFmtId="166" fontId="60" fillId="16" borderId="66" xfId="0" applyNumberFormat="1" applyFont="1" applyFill="1" applyBorder="1" applyAlignment="1">
      <alignment horizontal="right" shrinkToFit="1"/>
    </xf>
    <xf numFmtId="166" fontId="60" fillId="16" borderId="67" xfId="0" applyNumberFormat="1" applyFont="1" applyFill="1" applyBorder="1" applyAlignment="1">
      <alignment horizontal="right" shrinkToFit="1"/>
    </xf>
    <xf numFmtId="166" fontId="60" fillId="16" borderId="67" xfId="0" applyNumberFormat="1" applyFont="1" applyFill="1" applyBorder="1" applyAlignment="1">
      <alignment horizontal="right" vertical="top" shrinkToFit="1"/>
    </xf>
    <xf numFmtId="166" fontId="60" fillId="16" borderId="64" xfId="0" applyNumberFormat="1" applyFont="1" applyFill="1" applyBorder="1" applyAlignment="1">
      <alignment horizontal="right" shrinkToFit="1"/>
    </xf>
    <xf numFmtId="166" fontId="60" fillId="16" borderId="8" xfId="0" applyNumberFormat="1" applyFont="1" applyFill="1" applyBorder="1" applyAlignment="1">
      <alignment horizontal="right" shrinkToFit="1"/>
    </xf>
    <xf numFmtId="166" fontId="60" fillId="16" borderId="9" xfId="0" applyNumberFormat="1" applyFont="1" applyFill="1" applyBorder="1" applyAlignment="1">
      <alignment horizontal="right" shrinkToFit="1"/>
    </xf>
    <xf numFmtId="166" fontId="60" fillId="16" borderId="11" xfId="0" applyNumberFormat="1" applyFont="1" applyFill="1" applyBorder="1" applyAlignment="1">
      <alignment horizontal="right" shrinkToFit="1"/>
    </xf>
    <xf numFmtId="4" fontId="60" fillId="16" borderId="66" xfId="0" applyNumberFormat="1" applyFont="1" applyFill="1" applyBorder="1" applyAlignment="1">
      <alignment horizontal="right" shrinkToFit="1"/>
    </xf>
    <xf numFmtId="4" fontId="60" fillId="16" borderId="67" xfId="0" applyNumberFormat="1" applyFont="1" applyFill="1" applyBorder="1" applyAlignment="1">
      <alignment horizontal="right" shrinkToFit="1"/>
    </xf>
    <xf numFmtId="4" fontId="60" fillId="16" borderId="78" xfId="0" applyNumberFormat="1" applyFont="1" applyFill="1" applyBorder="1" applyAlignment="1">
      <alignment horizontal="right" shrinkToFit="1"/>
    </xf>
    <xf numFmtId="4" fontId="60" fillId="16" borderId="48" xfId="0" applyNumberFormat="1" applyFont="1" applyFill="1" applyBorder="1" applyAlignment="1">
      <alignment horizontal="right" shrinkToFit="1"/>
    </xf>
    <xf numFmtId="3" fontId="26" fillId="16" borderId="48" xfId="14" applyNumberFormat="1" applyFont="1" applyFill="1" applyBorder="1" applyAlignment="1">
      <alignment horizontal="left" vertical="center"/>
    </xf>
    <xf numFmtId="168" fontId="42" fillId="16" borderId="75" xfId="6" applyNumberFormat="1" applyFont="1" applyFill="1" applyBorder="1" applyAlignment="1">
      <alignment horizontal="right" shrinkToFit="1"/>
    </xf>
    <xf numFmtId="168" fontId="42" fillId="16" borderId="59" xfId="6" applyNumberFormat="1" applyFont="1" applyFill="1" applyBorder="1" applyAlignment="1">
      <alignment horizontal="right" shrinkToFit="1"/>
    </xf>
    <xf numFmtId="168" fontId="42" fillId="16" borderId="60" xfId="6" applyNumberFormat="1" applyFont="1" applyFill="1" applyBorder="1" applyAlignment="1">
      <alignment horizontal="right" shrinkToFit="1"/>
    </xf>
    <xf numFmtId="168" fontId="42" fillId="16" borderId="100" xfId="6" applyNumberFormat="1" applyFont="1" applyFill="1" applyBorder="1" applyAlignment="1">
      <alignment horizontal="right" shrinkToFit="1"/>
    </xf>
    <xf numFmtId="0" fontId="58" fillId="16" borderId="5" xfId="0" applyFont="1" applyFill="1" applyBorder="1" applyAlignment="1">
      <alignment horizontal="center" vertical="center" wrapText="1"/>
    </xf>
    <xf numFmtId="3" fontId="26" fillId="16" borderId="49" xfId="14" applyNumberFormat="1" applyFont="1" applyFill="1" applyBorder="1" applyAlignment="1">
      <alignment horizontal="left" vertical="center"/>
    </xf>
    <xf numFmtId="3" fontId="26" fillId="16" borderId="101" xfId="14" applyNumberFormat="1" applyFont="1" applyFill="1" applyBorder="1" applyAlignment="1">
      <alignment horizontal="left" vertical="center"/>
    </xf>
    <xf numFmtId="3" fontId="42" fillId="16" borderId="79" xfId="14" applyNumberFormat="1" applyFont="1" applyFill="1" applyBorder="1" applyAlignment="1">
      <alignment horizontal="right" vertical="center" shrinkToFit="1"/>
    </xf>
    <xf numFmtId="3" fontId="42" fillId="16" borderId="80" xfId="14" applyNumberFormat="1" applyFont="1" applyFill="1" applyBorder="1" applyAlignment="1">
      <alignment horizontal="right" vertical="center" shrinkToFit="1"/>
    </xf>
    <xf numFmtId="3" fontId="42" fillId="16" borderId="31" xfId="14" applyNumberFormat="1" applyFont="1" applyFill="1" applyBorder="1" applyAlignment="1">
      <alignment horizontal="right" vertical="center" shrinkToFit="1"/>
    </xf>
    <xf numFmtId="169" fontId="42" fillId="16" borderId="79" xfId="14" applyNumberFormat="1" applyFont="1" applyFill="1" applyBorder="1" applyAlignment="1">
      <alignment horizontal="right" vertical="center" shrinkToFit="1"/>
    </xf>
    <xf numFmtId="166" fontId="42" fillId="16" borderId="60" xfId="15" applyNumberFormat="1" applyFont="1" applyFill="1" applyBorder="1" applyAlignment="1">
      <alignment horizontal="right" shrinkToFit="1"/>
    </xf>
    <xf numFmtId="1" fontId="42" fillId="16" borderId="79" xfId="14" applyNumberFormat="1" applyFont="1" applyFill="1" applyBorder="1" applyAlignment="1">
      <alignment horizontal="right" vertical="center" shrinkToFit="1"/>
    </xf>
    <xf numFmtId="9" fontId="42" fillId="16" borderId="80" xfId="15" applyFont="1" applyFill="1" applyBorder="1" applyAlignment="1">
      <alignment horizontal="right" vertical="center" shrinkToFit="1"/>
    </xf>
    <xf numFmtId="1" fontId="42" fillId="16" borderId="80" xfId="15" applyNumberFormat="1" applyFont="1" applyFill="1" applyBorder="1" applyAlignment="1">
      <alignment horizontal="right" vertical="center" shrinkToFit="1"/>
    </xf>
    <xf numFmtId="1" fontId="42" fillId="16" borderId="80" xfId="14" applyNumberFormat="1" applyFont="1" applyFill="1" applyBorder="1" applyAlignment="1">
      <alignment horizontal="right" vertical="center" shrinkToFit="1"/>
    </xf>
    <xf numFmtId="1" fontId="42" fillId="16" borderId="102" xfId="14" applyNumberFormat="1" applyFont="1" applyFill="1" applyBorder="1" applyAlignment="1">
      <alignment horizontal="right" vertical="center" shrinkToFit="1"/>
    </xf>
    <xf numFmtId="3" fontId="42" fillId="16" borderId="81" xfId="14" applyNumberFormat="1" applyFont="1" applyFill="1" applyBorder="1" applyAlignment="1">
      <alignment horizontal="right" vertical="center" shrinkToFit="1"/>
    </xf>
    <xf numFmtId="3" fontId="42" fillId="16" borderId="103" xfId="14" applyNumberFormat="1" applyFont="1" applyFill="1" applyBorder="1" applyAlignment="1">
      <alignment horizontal="right" vertical="center" shrinkToFit="1"/>
    </xf>
    <xf numFmtId="3" fontId="42" fillId="16" borderId="102" xfId="14" applyNumberFormat="1" applyFont="1" applyFill="1" applyBorder="1" applyAlignment="1">
      <alignment horizontal="right" vertical="center" shrinkToFit="1"/>
    </xf>
    <xf numFmtId="3" fontId="42" fillId="16" borderId="60" xfId="6" applyNumberFormat="1" applyFont="1" applyFill="1" applyBorder="1" applyAlignment="1">
      <alignment horizontal="right" shrinkToFit="1"/>
    </xf>
    <xf numFmtId="166" fontId="42" fillId="16" borderId="101" xfId="14" applyNumberFormat="1" applyFont="1" applyFill="1" applyBorder="1" applyAlignment="1">
      <alignment horizontal="right" vertical="center" shrinkToFit="1"/>
    </xf>
    <xf numFmtId="1" fontId="42" fillId="16" borderId="101" xfId="14" applyNumberFormat="1" applyFont="1" applyFill="1" applyBorder="1" applyAlignment="1">
      <alignment horizontal="right" vertical="center" shrinkToFit="1"/>
    </xf>
    <xf numFmtId="49" fontId="42" fillId="16" borderId="101" xfId="14" applyNumberFormat="1" applyFont="1" applyFill="1" applyBorder="1" applyAlignment="1">
      <alignment horizontal="right" vertical="center" shrinkToFit="1"/>
    </xf>
    <xf numFmtId="0" fontId="42" fillId="16" borderId="81" xfId="14" applyFont="1" applyFill="1" applyBorder="1" applyAlignment="1">
      <alignment horizontal="right" vertical="center" shrinkToFit="1"/>
    </xf>
    <xf numFmtId="3" fontId="26" fillId="16" borderId="42" xfId="6" applyNumberFormat="1" applyFont="1" applyFill="1" applyBorder="1" applyAlignment="1">
      <alignment horizontal="left" vertical="center"/>
    </xf>
    <xf numFmtId="3" fontId="26" fillId="16" borderId="104" xfId="6" applyNumberFormat="1" applyFont="1" applyFill="1" applyBorder="1" applyAlignment="1">
      <alignment horizontal="left" vertical="center"/>
    </xf>
    <xf numFmtId="168" fontId="42" fillId="16" borderId="60" xfId="15" applyNumberFormat="1" applyFont="1" applyFill="1" applyBorder="1" applyAlignment="1">
      <alignment horizontal="right" shrinkToFit="1"/>
    </xf>
    <xf numFmtId="9" fontId="42" fillId="16" borderId="59" xfId="6" applyNumberFormat="1" applyFont="1" applyFill="1" applyBorder="1" applyAlignment="1">
      <alignment horizontal="right" shrinkToFit="1"/>
    </xf>
    <xf numFmtId="168" fontId="42" fillId="16" borderId="76" xfId="6" applyNumberFormat="1" applyFont="1" applyFill="1" applyBorder="1" applyAlignment="1">
      <alignment horizontal="right" shrinkToFit="1"/>
    </xf>
    <xf numFmtId="168" fontId="42" fillId="16" borderId="77" xfId="6" applyNumberFormat="1" applyFont="1" applyFill="1" applyBorder="1" applyAlignment="1">
      <alignment horizontal="right" shrinkToFit="1"/>
    </xf>
    <xf numFmtId="166" fontId="42" fillId="16" borderId="105" xfId="14" applyNumberFormat="1" applyFont="1" applyFill="1" applyBorder="1" applyAlignment="1">
      <alignment horizontal="right" vertical="center" shrinkToFit="1"/>
    </xf>
    <xf numFmtId="168" fontId="42" fillId="16" borderId="105" xfId="14" applyNumberFormat="1" applyFont="1" applyFill="1" applyBorder="1" applyAlignment="1">
      <alignment horizontal="right" vertical="center" shrinkToFit="1"/>
    </xf>
    <xf numFmtId="0" fontId="58" fillId="17" borderId="46" xfId="0" applyFont="1" applyFill="1" applyBorder="1" applyAlignment="1">
      <alignment horizontal="center" vertical="center" wrapText="1"/>
    </xf>
    <xf numFmtId="0" fontId="58" fillId="17" borderId="24" xfId="0" applyFont="1" applyFill="1" applyBorder="1" applyAlignment="1">
      <alignment horizontal="center" vertical="center" wrapText="1"/>
    </xf>
    <xf numFmtId="3" fontId="60" fillId="18" borderId="42" xfId="6" applyNumberFormat="1" applyFont="1" applyFill="1" applyBorder="1" applyAlignment="1">
      <alignment horizontal="right"/>
    </xf>
    <xf numFmtId="3" fontId="60" fillId="18" borderId="75" xfId="6" applyNumberFormat="1" applyFont="1" applyFill="1" applyBorder="1" applyAlignment="1">
      <alignment horizontal="right"/>
    </xf>
    <xf numFmtId="4" fontId="60" fillId="18" borderId="60" xfId="6" applyNumberFormat="1" applyFont="1" applyFill="1" applyBorder="1" applyAlignment="1">
      <alignment horizontal="right"/>
    </xf>
    <xf numFmtId="3" fontId="60" fillId="18" borderId="60" xfId="6" applyNumberFormat="1" applyFont="1" applyFill="1" applyBorder="1" applyAlignment="1">
      <alignment horizontal="right"/>
    </xf>
    <xf numFmtId="3" fontId="60" fillId="18" borderId="106" xfId="6" applyNumberFormat="1" applyFont="1" applyFill="1" applyBorder="1" applyAlignment="1">
      <alignment horizontal="right"/>
    </xf>
    <xf numFmtId="3" fontId="60" fillId="18" borderId="59" xfId="6" applyNumberFormat="1" applyFont="1" applyFill="1" applyBorder="1" applyAlignment="1">
      <alignment horizontal="right"/>
    </xf>
    <xf numFmtId="166" fontId="60" fillId="18" borderId="75" xfId="0" applyNumberFormat="1" applyFont="1" applyFill="1" applyBorder="1" applyAlignment="1">
      <alignment horizontal="right" shrinkToFit="1"/>
    </xf>
    <xf numFmtId="166" fontId="60" fillId="18" borderId="59" xfId="0" applyNumberFormat="1" applyFont="1" applyFill="1" applyBorder="1" applyAlignment="1">
      <alignment horizontal="right" shrinkToFit="1"/>
    </xf>
    <xf numFmtId="166" fontId="60" fillId="18" borderId="59" xfId="0" applyNumberFormat="1" applyFont="1" applyFill="1" applyBorder="1" applyAlignment="1">
      <alignment horizontal="right" vertical="top" shrinkToFit="1"/>
    </xf>
    <xf numFmtId="166" fontId="60" fillId="18" borderId="60" xfId="0" applyNumberFormat="1" applyFont="1" applyFill="1" applyBorder="1" applyAlignment="1">
      <alignment horizontal="right" shrinkToFit="1"/>
    </xf>
    <xf numFmtId="4" fontId="60" fillId="18" borderId="75" xfId="0" applyNumberFormat="1" applyFont="1" applyFill="1" applyBorder="1" applyAlignment="1">
      <alignment horizontal="right" shrinkToFit="1"/>
    </xf>
    <xf numFmtId="4" fontId="60" fillId="18" borderId="59" xfId="0" applyNumberFormat="1" applyFont="1" applyFill="1" applyBorder="1" applyAlignment="1">
      <alignment horizontal="right" shrinkToFit="1"/>
    </xf>
    <xf numFmtId="4" fontId="60" fillId="18" borderId="60" xfId="0" applyNumberFormat="1" applyFont="1" applyFill="1" applyBorder="1" applyAlignment="1">
      <alignment horizontal="right" shrinkToFit="1"/>
    </xf>
    <xf numFmtId="4" fontId="60" fillId="18" borderId="42" xfId="0" applyNumberFormat="1" applyFont="1" applyFill="1" applyBorder="1" applyAlignment="1">
      <alignment horizontal="right" shrinkToFit="1"/>
    </xf>
    <xf numFmtId="4" fontId="60" fillId="18" borderId="76" xfId="0" applyNumberFormat="1" applyFont="1" applyFill="1" applyBorder="1" applyAlignment="1">
      <alignment horizontal="right" shrinkToFit="1"/>
    </xf>
    <xf numFmtId="3" fontId="26" fillId="18" borderId="42" xfId="6" applyNumberFormat="1" applyFont="1" applyFill="1" applyBorder="1" applyAlignment="1">
      <alignment horizontal="right"/>
    </xf>
    <xf numFmtId="1" fontId="42" fillId="18" borderId="42" xfId="6" applyNumberFormat="1" applyFont="1" applyFill="1" applyBorder="1" applyAlignment="1">
      <alignment horizontal="right" shrinkToFit="1"/>
    </xf>
    <xf numFmtId="3" fontId="42" fillId="18" borderId="75" xfId="6" applyNumberFormat="1" applyFont="1" applyFill="1" applyBorder="1" applyAlignment="1">
      <alignment horizontal="right" shrinkToFit="1"/>
    </xf>
    <xf numFmtId="3" fontId="42" fillId="18" borderId="106" xfId="6" applyNumberFormat="1" applyFont="1" applyFill="1" applyBorder="1" applyAlignment="1">
      <alignment horizontal="right" shrinkToFit="1"/>
    </xf>
    <xf numFmtId="3" fontId="42" fillId="18" borderId="59" xfId="6" applyNumberFormat="1" applyFont="1" applyFill="1" applyBorder="1" applyAlignment="1">
      <alignment horizontal="right" shrinkToFit="1"/>
    </xf>
    <xf numFmtId="1" fontId="42" fillId="18" borderId="59" xfId="6" applyNumberFormat="1" applyFont="1" applyFill="1" applyBorder="1" applyAlignment="1">
      <alignment horizontal="right" shrinkToFit="1"/>
    </xf>
    <xf numFmtId="9" fontId="42" fillId="18" borderId="59" xfId="15" applyFont="1" applyFill="1" applyBorder="1" applyAlignment="1">
      <alignment horizontal="right" shrinkToFit="1"/>
    </xf>
    <xf numFmtId="3" fontId="42" fillId="18" borderId="60" xfId="6" applyNumberFormat="1" applyFont="1" applyFill="1" applyBorder="1" applyAlignment="1">
      <alignment horizontal="right" shrinkToFit="1"/>
    </xf>
    <xf numFmtId="9" fontId="42" fillId="18" borderId="76" xfId="6" applyNumberFormat="1" applyFont="1" applyFill="1" applyBorder="1" applyAlignment="1">
      <alignment horizontal="right" shrinkToFit="1"/>
    </xf>
    <xf numFmtId="3" fontId="42" fillId="18" borderId="77" xfId="6" applyNumberFormat="1" applyFont="1" applyFill="1" applyBorder="1" applyAlignment="1">
      <alignment horizontal="right" shrinkToFit="1"/>
    </xf>
    <xf numFmtId="3" fontId="42" fillId="18" borderId="76" xfId="6" applyNumberFormat="1" applyFont="1" applyFill="1" applyBorder="1" applyAlignment="1">
      <alignment horizontal="right" shrinkToFit="1"/>
    </xf>
    <xf numFmtId="2" fontId="42" fillId="18" borderId="59" xfId="6" applyNumberFormat="1" applyFont="1" applyFill="1" applyBorder="1" applyAlignment="1">
      <alignment horizontal="right" shrinkToFit="1"/>
    </xf>
    <xf numFmtId="2" fontId="42" fillId="18" borderId="76" xfId="6" applyNumberFormat="1" applyFont="1" applyFill="1" applyBorder="1" applyAlignment="1">
      <alignment horizontal="right" shrinkToFit="1"/>
    </xf>
    <xf numFmtId="2" fontId="42" fillId="18" borderId="60" xfId="6" applyNumberFormat="1" applyFont="1" applyFill="1" applyBorder="1" applyAlignment="1">
      <alignment horizontal="right" shrinkToFit="1"/>
    </xf>
    <xf numFmtId="166" fontId="42" fillId="18" borderId="42" xfId="6" applyNumberFormat="1" applyFont="1" applyFill="1" applyBorder="1" applyAlignment="1">
      <alignment horizontal="right" shrinkToFit="1"/>
    </xf>
    <xf numFmtId="166" fontId="42" fillId="18" borderId="42" xfId="15" applyNumberFormat="1" applyFont="1" applyFill="1" applyBorder="1" applyAlignment="1">
      <alignment horizontal="right" shrinkToFit="1"/>
    </xf>
    <xf numFmtId="49" fontId="42" fillId="18" borderId="42" xfId="6" applyNumberFormat="1" applyFont="1" applyFill="1" applyBorder="1" applyAlignment="1">
      <alignment horizontal="right" shrinkToFit="1"/>
    </xf>
    <xf numFmtId="3" fontId="42" fillId="16" borderId="101" xfId="14" applyNumberFormat="1" applyFont="1" applyFill="1" applyBorder="1" applyAlignment="1">
      <alignment horizontal="right" vertical="center" shrinkToFit="1"/>
    </xf>
    <xf numFmtId="3" fontId="42" fillId="16" borderId="96" xfId="14" applyNumberFormat="1" applyFont="1" applyFill="1" applyBorder="1" applyAlignment="1">
      <alignment horizontal="right" vertical="center" shrinkToFit="1"/>
    </xf>
    <xf numFmtId="9" fontId="42" fillId="16" borderId="96" xfId="15" applyFont="1" applyFill="1" applyBorder="1" applyAlignment="1">
      <alignment horizontal="right" vertical="center" shrinkToFit="1"/>
    </xf>
    <xf numFmtId="9" fontId="42" fillId="16" borderId="88" xfId="14" applyNumberFormat="1" applyFont="1" applyFill="1" applyBorder="1" applyAlignment="1">
      <alignment horizontal="right" vertical="center" shrinkToFit="1"/>
    </xf>
    <xf numFmtId="168" fontId="43" fillId="16" borderId="79" xfId="0" applyNumberFormat="1" applyFont="1" applyFill="1" applyBorder="1" applyAlignment="1">
      <alignment horizontal="right" shrinkToFit="1"/>
    </xf>
    <xf numFmtId="168" fontId="43" fillId="16" borderId="80" xfId="0" applyNumberFormat="1" applyFont="1" applyFill="1" applyBorder="1" applyAlignment="1">
      <alignment horizontal="right" shrinkToFit="1"/>
    </xf>
    <xf numFmtId="168" fontId="43" fillId="16" borderId="81" xfId="0" applyNumberFormat="1" applyFont="1" applyFill="1" applyBorder="1" applyAlignment="1">
      <alignment horizontal="right" shrinkToFit="1"/>
    </xf>
    <xf numFmtId="166" fontId="42" fillId="16" borderId="49" xfId="15" applyNumberFormat="1" applyFont="1" applyFill="1" applyBorder="1" applyAlignment="1">
      <alignment horizontal="right" vertical="center" shrinkToFit="1"/>
    </xf>
    <xf numFmtId="166" fontId="42" fillId="16" borderId="98" xfId="14" applyNumberFormat="1" applyFont="1" applyFill="1" applyBorder="1" applyAlignment="1">
      <alignment horizontal="right" vertical="center" shrinkToFit="1"/>
    </xf>
    <xf numFmtId="166" fontId="42" fillId="16" borderId="105" xfId="15" applyNumberFormat="1" applyFont="1" applyFill="1" applyBorder="1" applyAlignment="1">
      <alignment horizontal="right" vertical="center" shrinkToFit="1"/>
    </xf>
    <xf numFmtId="168" fontId="42" fillId="16" borderId="104" xfId="6" applyNumberFormat="1" applyFont="1" applyFill="1" applyBorder="1" applyAlignment="1">
      <alignment horizontal="right" shrinkToFit="1"/>
    </xf>
    <xf numFmtId="166" fontId="42" fillId="16" borderId="59" xfId="6" applyNumberFormat="1" applyFont="1" applyFill="1" applyBorder="1" applyAlignment="1">
      <alignment horizontal="right" shrinkToFit="1"/>
    </xf>
    <xf numFmtId="1" fontId="42" fillId="16" borderId="59" xfId="6" applyNumberFormat="1" applyFont="1" applyFill="1" applyBorder="1" applyAlignment="1">
      <alignment horizontal="right" shrinkToFit="1"/>
    </xf>
    <xf numFmtId="166" fontId="42" fillId="16" borderId="42" xfId="6" applyNumberFormat="1" applyFont="1" applyFill="1" applyBorder="1" applyAlignment="1">
      <alignment horizontal="right" shrinkToFit="1"/>
    </xf>
    <xf numFmtId="166" fontId="42" fillId="16" borderId="104" xfId="15" applyNumberFormat="1" applyFont="1" applyFill="1" applyBorder="1" applyAlignment="1">
      <alignment horizontal="right" shrinkToFit="1"/>
    </xf>
    <xf numFmtId="1" fontId="42" fillId="16" borderId="104" xfId="6" applyNumberFormat="1" applyFont="1" applyFill="1" applyBorder="1" applyAlignment="1">
      <alignment horizontal="right" shrinkToFit="1"/>
    </xf>
    <xf numFmtId="49" fontId="42" fillId="16" borderId="104" xfId="6" applyNumberFormat="1" applyFont="1" applyFill="1" applyBorder="1" applyAlignment="1">
      <alignment horizontal="right" shrinkToFit="1"/>
    </xf>
    <xf numFmtId="1" fontId="26" fillId="18" borderId="42" xfId="6" applyNumberFormat="1" applyFont="1" applyFill="1" applyBorder="1" applyAlignment="1">
      <alignment horizontal="right" shrinkToFit="1"/>
    </xf>
    <xf numFmtId="3" fontId="26" fillId="18" borderId="75" xfId="6" applyNumberFormat="1" applyFont="1" applyFill="1" applyBorder="1" applyAlignment="1">
      <alignment horizontal="right" shrinkToFit="1"/>
    </xf>
    <xf numFmtId="3" fontId="26" fillId="18" borderId="59" xfId="6" applyNumberFormat="1" applyFont="1" applyFill="1" applyBorder="1" applyAlignment="1">
      <alignment horizontal="right" shrinkToFit="1"/>
    </xf>
    <xf numFmtId="1" fontId="26" fillId="18" borderId="59" xfId="6" applyNumberFormat="1" applyFont="1" applyFill="1" applyBorder="1" applyAlignment="1">
      <alignment horizontal="right" shrinkToFit="1"/>
    </xf>
    <xf numFmtId="166" fontId="26" fillId="18" borderId="59" xfId="6" applyNumberFormat="1" applyFont="1" applyFill="1" applyBorder="1" applyAlignment="1">
      <alignment horizontal="right" shrinkToFit="1"/>
    </xf>
    <xf numFmtId="9" fontId="26" fillId="18" borderId="76" xfId="6" applyNumberFormat="1" applyFont="1" applyFill="1" applyBorder="1" applyAlignment="1">
      <alignment horizontal="right" shrinkToFit="1"/>
    </xf>
    <xf numFmtId="169" fontId="26" fillId="18" borderId="59" xfId="6" applyNumberFormat="1" applyFont="1" applyFill="1" applyBorder="1" applyAlignment="1">
      <alignment horizontal="right" shrinkToFit="1"/>
    </xf>
    <xf numFmtId="166" fontId="26" fillId="18" borderId="42" xfId="6" applyNumberFormat="1" applyFont="1" applyFill="1" applyBorder="1" applyAlignment="1">
      <alignment horizontal="right" shrinkToFit="1"/>
    </xf>
    <xf numFmtId="166" fontId="26" fillId="18" borderId="42" xfId="15" applyNumberFormat="1" applyFont="1" applyFill="1" applyBorder="1" applyAlignment="1">
      <alignment horizontal="right" shrinkToFit="1"/>
    </xf>
    <xf numFmtId="0" fontId="26" fillId="18" borderId="42" xfId="6" applyNumberFormat="1" applyFont="1" applyFill="1" applyBorder="1" applyAlignment="1">
      <alignment horizontal="right" shrinkToFit="1"/>
    </xf>
    <xf numFmtId="1" fontId="26" fillId="18" borderId="77" xfId="6" applyNumberFormat="1" applyFont="1" applyFill="1" applyBorder="1" applyAlignment="1">
      <alignment horizontal="right" shrinkToFit="1"/>
    </xf>
    <xf numFmtId="3" fontId="26" fillId="18" borderId="77" xfId="6" applyNumberFormat="1" applyFont="1" applyFill="1" applyBorder="1" applyAlignment="1">
      <alignment horizontal="right" shrinkToFit="1"/>
    </xf>
    <xf numFmtId="3" fontId="26" fillId="18" borderId="76" xfId="6" applyNumberFormat="1" applyFont="1" applyFill="1" applyBorder="1" applyAlignment="1">
      <alignment horizontal="right" shrinkToFit="1"/>
    </xf>
    <xf numFmtId="168" fontId="26" fillId="18" borderId="42" xfId="6" applyNumberFormat="1" applyFont="1" applyFill="1" applyBorder="1" applyAlignment="1">
      <alignment horizontal="right" shrinkToFit="1"/>
    </xf>
    <xf numFmtId="3" fontId="26" fillId="18" borderId="99" xfId="6" applyNumberFormat="1" applyFont="1" applyFill="1" applyBorder="1" applyAlignment="1">
      <alignment horizontal="right" shrinkToFit="1"/>
    </xf>
    <xf numFmtId="166" fontId="42" fillId="16" borderId="31" xfId="14" applyNumberFormat="1" applyFont="1" applyFill="1" applyBorder="1" applyAlignment="1">
      <alignment horizontal="right" vertical="center" shrinkToFit="1"/>
    </xf>
    <xf numFmtId="1" fontId="42" fillId="16" borderId="96" xfId="15" applyNumberFormat="1" applyFont="1" applyFill="1" applyBorder="1" applyAlignment="1">
      <alignment horizontal="right" vertical="center" shrinkToFit="1"/>
    </xf>
    <xf numFmtId="9" fontId="42" fillId="16" borderId="103" xfId="14" applyNumberFormat="1" applyFont="1" applyFill="1" applyBorder="1" applyAlignment="1">
      <alignment horizontal="right" vertical="center" shrinkToFit="1"/>
    </xf>
    <xf numFmtId="169" fontId="42" fillId="16" borderId="81" xfId="14" applyNumberFormat="1" applyFont="1" applyFill="1" applyBorder="1" applyAlignment="1">
      <alignment horizontal="right" vertical="center" shrinkToFit="1"/>
    </xf>
    <xf numFmtId="166" fontId="42" fillId="16" borderId="59" xfId="15" applyNumberFormat="1" applyFont="1" applyFill="1" applyBorder="1" applyAlignment="1">
      <alignment horizontal="right" vertical="center" shrinkToFit="1"/>
    </xf>
    <xf numFmtId="1" fontId="42" fillId="16" borderId="81" xfId="14" applyNumberFormat="1" applyFont="1" applyFill="1" applyBorder="1" applyAlignment="1">
      <alignment horizontal="right" vertical="center" shrinkToFit="1"/>
    </xf>
    <xf numFmtId="1" fontId="42" fillId="16" borderId="105" xfId="15" applyNumberFormat="1" applyFont="1" applyFill="1" applyBorder="1" applyAlignment="1">
      <alignment horizontal="right" vertical="center" shrinkToFit="1"/>
    </xf>
    <xf numFmtId="0" fontId="42" fillId="16" borderId="101" xfId="14" applyFont="1" applyFill="1" applyBorder="1" applyAlignment="1">
      <alignment horizontal="right" vertical="center" shrinkToFit="1"/>
    </xf>
    <xf numFmtId="168" fontId="26" fillId="16" borderId="104" xfId="6" applyNumberFormat="1" applyFont="1" applyFill="1" applyBorder="1" applyAlignment="1">
      <alignment horizontal="right" shrinkToFit="1"/>
    </xf>
    <xf numFmtId="166" fontId="42" fillId="16" borderId="60" xfId="6" applyNumberFormat="1" applyFont="1" applyFill="1" applyBorder="1" applyAlignment="1">
      <alignment horizontal="right" shrinkToFit="1"/>
    </xf>
    <xf numFmtId="168" fontId="42" fillId="16" borderId="77" xfId="15" applyNumberFormat="1" applyFont="1" applyFill="1" applyBorder="1" applyAlignment="1">
      <alignment horizontal="right" shrinkToFit="1"/>
    </xf>
    <xf numFmtId="168" fontId="42" fillId="16" borderId="81" xfId="14" applyNumberFormat="1" applyFont="1" applyFill="1" applyBorder="1" applyAlignment="1">
      <alignment horizontal="right" vertical="center" shrinkToFit="1"/>
    </xf>
    <xf numFmtId="166" fontId="42" fillId="16" borderId="89" xfId="15" applyNumberFormat="1" applyFont="1" applyFill="1" applyBorder="1" applyAlignment="1">
      <alignment horizontal="right" vertical="center" shrinkToFit="1"/>
    </xf>
    <xf numFmtId="168" fontId="42" fillId="16" borderId="108" xfId="15" applyNumberFormat="1" applyFont="1" applyFill="1" applyBorder="1" applyAlignment="1">
      <alignment horizontal="right" vertical="center" shrinkToFit="1"/>
    </xf>
    <xf numFmtId="168" fontId="42" fillId="16" borderId="104" xfId="15" applyNumberFormat="1" applyFont="1" applyFill="1" applyBorder="1" applyAlignment="1">
      <alignment horizontal="right" shrinkToFit="1"/>
    </xf>
    <xf numFmtId="0" fontId="42" fillId="16" borderId="104" xfId="6" applyNumberFormat="1" applyFont="1" applyFill="1" applyBorder="1" applyAlignment="1">
      <alignment horizontal="right" shrinkToFit="1"/>
    </xf>
    <xf numFmtId="166" fontId="26" fillId="18" borderId="77" xfId="6" applyNumberFormat="1" applyFont="1" applyFill="1" applyBorder="1" applyAlignment="1">
      <alignment horizontal="right" shrinkToFit="1"/>
    </xf>
    <xf numFmtId="9" fontId="26" fillId="18" borderId="108" xfId="6" applyNumberFormat="1" applyFont="1" applyFill="1" applyBorder="1" applyAlignment="1">
      <alignment horizontal="right" shrinkToFit="1"/>
    </xf>
    <xf numFmtId="1" fontId="26" fillId="18" borderId="109" xfId="6" applyNumberFormat="1" applyFont="1" applyFill="1" applyBorder="1" applyAlignment="1">
      <alignment horizontal="right" shrinkToFit="1"/>
    </xf>
    <xf numFmtId="0" fontId="26" fillId="18" borderId="60" xfId="6" applyNumberFormat="1" applyFont="1" applyFill="1" applyBorder="1" applyAlignment="1">
      <alignment horizontal="right" shrinkToFit="1"/>
    </xf>
    <xf numFmtId="1" fontId="26" fillId="18" borderId="110" xfId="6" applyNumberFormat="1" applyFont="1" applyFill="1" applyBorder="1" applyAlignment="1">
      <alignment horizontal="right" shrinkToFit="1"/>
    </xf>
    <xf numFmtId="1" fontId="26" fillId="18" borderId="111" xfId="15" applyNumberFormat="1" applyFont="1" applyFill="1" applyBorder="1" applyAlignment="1">
      <alignment horizontal="right" shrinkToFit="1"/>
    </xf>
    <xf numFmtId="1" fontId="26" fillId="18" borderId="111" xfId="6" applyNumberFormat="1" applyFont="1" applyFill="1" applyBorder="1" applyAlignment="1">
      <alignment horizontal="right" shrinkToFit="1"/>
    </xf>
    <xf numFmtId="166" fontId="26" fillId="18" borderId="109" xfId="6" applyNumberFormat="1" applyFont="1" applyFill="1" applyBorder="1" applyAlignment="1">
      <alignment horizontal="right" shrinkToFit="1"/>
    </xf>
    <xf numFmtId="3" fontId="26" fillId="18" borderId="42" xfId="6" applyNumberFormat="1" applyFont="1" applyFill="1" applyBorder="1" applyAlignment="1">
      <alignment horizontal="right" wrapText="1"/>
    </xf>
    <xf numFmtId="1" fontId="26" fillId="18" borderId="42" xfId="6" applyNumberFormat="1" applyFont="1" applyFill="1" applyBorder="1" applyAlignment="1">
      <alignment horizontal="right" wrapText="1" shrinkToFit="1"/>
    </xf>
    <xf numFmtId="3" fontId="26" fillId="18" borderId="75" xfId="6" applyNumberFormat="1" applyFont="1" applyFill="1" applyBorder="1" applyAlignment="1">
      <alignment horizontal="right" wrapText="1" shrinkToFit="1"/>
    </xf>
    <xf numFmtId="3" fontId="26" fillId="18" borderId="59" xfId="6" applyNumberFormat="1" applyFont="1" applyFill="1" applyBorder="1" applyAlignment="1">
      <alignment horizontal="right" wrapText="1" shrinkToFit="1"/>
    </xf>
    <xf numFmtId="3" fontId="42" fillId="18" borderId="59" xfId="6" applyNumberFormat="1" applyFont="1" applyFill="1" applyBorder="1" applyAlignment="1">
      <alignment horizontal="right" wrapText="1" shrinkToFit="1"/>
    </xf>
    <xf numFmtId="1" fontId="26" fillId="18" borderId="59" xfId="6" applyNumberFormat="1" applyFont="1" applyFill="1" applyBorder="1" applyAlignment="1">
      <alignment horizontal="right" wrapText="1" shrinkToFit="1"/>
    </xf>
    <xf numFmtId="166" fontId="26" fillId="18" borderId="59" xfId="6" applyNumberFormat="1" applyFont="1" applyFill="1" applyBorder="1" applyAlignment="1">
      <alignment horizontal="right" wrapText="1" shrinkToFit="1"/>
    </xf>
    <xf numFmtId="9" fontId="26" fillId="18" borderId="76" xfId="6" applyNumberFormat="1" applyFont="1" applyFill="1" applyBorder="1" applyAlignment="1">
      <alignment horizontal="right" wrapText="1" shrinkToFit="1"/>
    </xf>
    <xf numFmtId="169" fontId="26" fillId="18" borderId="59" xfId="6" applyNumberFormat="1" applyFont="1" applyFill="1" applyBorder="1" applyAlignment="1">
      <alignment horizontal="right" wrapText="1" shrinkToFit="1"/>
    </xf>
    <xf numFmtId="166" fontId="26" fillId="18" borderId="42" xfId="6" applyNumberFormat="1" applyFont="1" applyFill="1" applyBorder="1" applyAlignment="1">
      <alignment horizontal="right" wrapText="1" shrinkToFit="1"/>
    </xf>
    <xf numFmtId="166" fontId="26" fillId="18" borderId="42" xfId="15" applyNumberFormat="1" applyFont="1" applyFill="1" applyBorder="1" applyAlignment="1">
      <alignment horizontal="right" wrapText="1" shrinkToFit="1"/>
    </xf>
    <xf numFmtId="0" fontId="26" fillId="18" borderId="42" xfId="6" applyNumberFormat="1" applyFont="1" applyFill="1" applyBorder="1" applyAlignment="1">
      <alignment horizontal="right" wrapText="1" shrinkToFit="1"/>
    </xf>
    <xf numFmtId="2" fontId="26" fillId="18" borderId="42" xfId="6" applyNumberFormat="1" applyFont="1" applyFill="1" applyBorder="1" applyAlignment="1">
      <alignment horizontal="right" wrapText="1" shrinkToFit="1"/>
    </xf>
    <xf numFmtId="3" fontId="26" fillId="16" borderId="49" xfId="14" applyNumberFormat="1" applyFont="1" applyFill="1" applyBorder="1" applyAlignment="1">
      <alignment horizontal="left" vertical="center" wrapText="1"/>
    </xf>
    <xf numFmtId="3" fontId="26" fillId="16" borderId="101" xfId="14" applyNumberFormat="1" applyFont="1" applyFill="1" applyBorder="1" applyAlignment="1">
      <alignment horizontal="right" vertical="center" wrapText="1" shrinkToFit="1"/>
    </xf>
    <xf numFmtId="3" fontId="42" fillId="16" borderId="79" xfId="14" applyNumberFormat="1" applyFont="1" applyFill="1" applyBorder="1" applyAlignment="1">
      <alignment horizontal="right" vertical="center" wrapText="1" shrinkToFit="1"/>
    </xf>
    <xf numFmtId="3" fontId="42" fillId="16" borderId="31" xfId="14" applyNumberFormat="1" applyFont="1" applyFill="1" applyBorder="1" applyAlignment="1">
      <alignment horizontal="right" vertical="center" wrapText="1" shrinkToFit="1"/>
    </xf>
    <xf numFmtId="3" fontId="42" fillId="16" borderId="96" xfId="14" applyNumberFormat="1" applyFont="1" applyFill="1" applyBorder="1" applyAlignment="1">
      <alignment horizontal="right" vertical="center" wrapText="1" shrinkToFit="1"/>
    </xf>
    <xf numFmtId="166" fontId="42" fillId="16" borderId="96" xfId="14" applyNumberFormat="1" applyFont="1" applyFill="1" applyBorder="1" applyAlignment="1">
      <alignment horizontal="right" vertical="center" wrapText="1" shrinkToFit="1"/>
    </xf>
    <xf numFmtId="3" fontId="42" fillId="16" borderId="103" xfId="14" applyNumberFormat="1" applyFont="1" applyFill="1" applyBorder="1" applyAlignment="1">
      <alignment horizontal="right" vertical="center" wrapText="1" shrinkToFit="1"/>
    </xf>
    <xf numFmtId="9" fontId="42" fillId="16" borderId="80" xfId="15" applyFont="1" applyFill="1" applyBorder="1" applyAlignment="1">
      <alignment horizontal="right" vertical="center" wrapText="1" shrinkToFit="1"/>
    </xf>
    <xf numFmtId="3" fontId="42" fillId="16" borderId="80" xfId="14" applyNumberFormat="1" applyFont="1" applyFill="1" applyBorder="1" applyAlignment="1">
      <alignment horizontal="right" vertical="center" wrapText="1" shrinkToFit="1"/>
    </xf>
    <xf numFmtId="1" fontId="42" fillId="16" borderId="80" xfId="14" applyNumberFormat="1" applyFont="1" applyFill="1" applyBorder="1" applyAlignment="1">
      <alignment horizontal="right" vertical="center" wrapText="1" shrinkToFit="1"/>
    </xf>
    <xf numFmtId="3" fontId="42" fillId="16" borderId="81" xfId="14" applyNumberFormat="1" applyFont="1" applyFill="1" applyBorder="1" applyAlignment="1">
      <alignment horizontal="right" vertical="center" wrapText="1" shrinkToFit="1"/>
    </xf>
    <xf numFmtId="3" fontId="42" fillId="16" borderId="102" xfId="14" applyNumberFormat="1" applyFont="1" applyFill="1" applyBorder="1" applyAlignment="1">
      <alignment horizontal="right" vertical="center" wrapText="1" shrinkToFit="1"/>
    </xf>
    <xf numFmtId="168" fontId="42" fillId="16" borderId="75" xfId="6" applyNumberFormat="1" applyFont="1" applyFill="1" applyBorder="1" applyAlignment="1">
      <alignment horizontal="right" wrapText="1" shrinkToFit="1"/>
    </xf>
    <xf numFmtId="166" fontId="42" fillId="16" borderId="59" xfId="15" applyNumberFormat="1" applyFont="1" applyFill="1" applyBorder="1" applyAlignment="1">
      <alignment horizontal="right" vertical="center" wrapText="1" shrinkToFit="1"/>
    </xf>
    <xf numFmtId="166" fontId="42" fillId="16" borderId="105" xfId="14" applyNumberFormat="1" applyFont="1" applyFill="1" applyBorder="1" applyAlignment="1">
      <alignment horizontal="right" vertical="center" wrapText="1" shrinkToFit="1"/>
    </xf>
    <xf numFmtId="166" fontId="42" fillId="16" borderId="105" xfId="15" applyNumberFormat="1" applyFont="1" applyFill="1" applyBorder="1" applyAlignment="1">
      <alignment horizontal="right" vertical="center" wrapText="1" shrinkToFit="1"/>
    </xf>
    <xf numFmtId="1" fontId="42" fillId="16" borderId="105" xfId="15" applyNumberFormat="1" applyFont="1" applyFill="1" applyBorder="1" applyAlignment="1">
      <alignment horizontal="right" vertical="center" wrapText="1" shrinkToFit="1"/>
    </xf>
    <xf numFmtId="3" fontId="42" fillId="16" borderId="101" xfId="14" applyNumberFormat="1" applyFont="1" applyFill="1" applyBorder="1" applyAlignment="1">
      <alignment horizontal="right" vertical="center" wrapText="1" shrinkToFit="1"/>
    </xf>
    <xf numFmtId="49" fontId="42" fillId="16" borderId="101" xfId="14" applyNumberFormat="1" applyFont="1" applyFill="1" applyBorder="1" applyAlignment="1">
      <alignment horizontal="right" vertical="center" wrapText="1" shrinkToFit="1"/>
    </xf>
    <xf numFmtId="0" fontId="42" fillId="16" borderId="101" xfId="14" applyFont="1" applyFill="1" applyBorder="1" applyAlignment="1">
      <alignment horizontal="right" vertical="center" wrapText="1" shrinkToFit="1"/>
    </xf>
    <xf numFmtId="3" fontId="26" fillId="16" borderId="42" xfId="6" applyNumberFormat="1" applyFont="1" applyFill="1" applyBorder="1" applyAlignment="1">
      <alignment horizontal="left" vertical="center" wrapText="1"/>
    </xf>
    <xf numFmtId="168" fontId="26" fillId="16" borderId="104" xfId="6" applyNumberFormat="1" applyFont="1" applyFill="1" applyBorder="1" applyAlignment="1">
      <alignment horizontal="right" wrapText="1" shrinkToFit="1"/>
    </xf>
    <xf numFmtId="169" fontId="42" fillId="16" borderId="79" xfId="14" applyNumberFormat="1" applyFont="1" applyFill="1" applyBorder="1" applyAlignment="1">
      <alignment horizontal="right" vertical="center" wrapText="1" shrinkToFit="1"/>
    </xf>
    <xf numFmtId="168" fontId="42" fillId="16" borderId="60" xfId="6" applyNumberFormat="1" applyFont="1" applyFill="1" applyBorder="1" applyAlignment="1">
      <alignment horizontal="right" wrapText="1" shrinkToFit="1"/>
    </xf>
    <xf numFmtId="166" fontId="42" fillId="16" borderId="60" xfId="6" applyNumberFormat="1" applyFont="1" applyFill="1" applyBorder="1" applyAlignment="1">
      <alignment horizontal="right" wrapText="1" shrinkToFit="1"/>
    </xf>
    <xf numFmtId="166" fontId="42" fillId="16" borderId="60" xfId="15" applyNumberFormat="1" applyFont="1" applyFill="1" applyBorder="1" applyAlignment="1">
      <alignment horizontal="right" wrapText="1" shrinkToFit="1"/>
    </xf>
    <xf numFmtId="168" fontId="42" fillId="16" borderId="77" xfId="6" applyNumberFormat="1" applyFont="1" applyFill="1" applyBorder="1" applyAlignment="1">
      <alignment horizontal="right" wrapText="1" shrinkToFit="1"/>
    </xf>
    <xf numFmtId="9" fontId="42" fillId="16" borderId="59" xfId="6" applyNumberFormat="1" applyFont="1" applyFill="1" applyBorder="1" applyAlignment="1">
      <alignment horizontal="right" wrapText="1" shrinkToFit="1"/>
    </xf>
    <xf numFmtId="168" fontId="42" fillId="16" borderId="59" xfId="6" applyNumberFormat="1" applyFont="1" applyFill="1" applyBorder="1" applyAlignment="1">
      <alignment horizontal="right" wrapText="1" shrinkToFit="1"/>
    </xf>
    <xf numFmtId="168" fontId="42" fillId="16" borderId="76" xfId="6" applyNumberFormat="1" applyFont="1" applyFill="1" applyBorder="1" applyAlignment="1">
      <alignment horizontal="right" wrapText="1" shrinkToFit="1"/>
    </xf>
    <xf numFmtId="168" fontId="42" fillId="16" borderId="81" xfId="14" applyNumberFormat="1" applyFont="1" applyFill="1" applyBorder="1" applyAlignment="1">
      <alignment horizontal="right" vertical="center" wrapText="1" shrinkToFit="1"/>
    </xf>
    <xf numFmtId="166" fontId="42" fillId="16" borderId="89" xfId="15" applyNumberFormat="1" applyFont="1" applyFill="1" applyBorder="1" applyAlignment="1">
      <alignment horizontal="right" vertical="center" wrapText="1" shrinkToFit="1"/>
    </xf>
    <xf numFmtId="166" fontId="42" fillId="16" borderId="104" xfId="15" applyNumberFormat="1" applyFont="1" applyFill="1" applyBorder="1" applyAlignment="1">
      <alignment horizontal="right" wrapText="1" shrinkToFit="1"/>
    </xf>
    <xf numFmtId="168" fontId="42" fillId="16" borderId="104" xfId="15" applyNumberFormat="1" applyFont="1" applyFill="1" applyBorder="1" applyAlignment="1">
      <alignment horizontal="right" wrapText="1" shrinkToFit="1"/>
    </xf>
    <xf numFmtId="168" fontId="42" fillId="16" borderId="104" xfId="6" applyNumberFormat="1" applyFont="1" applyFill="1" applyBorder="1" applyAlignment="1">
      <alignment horizontal="right" wrapText="1" shrinkToFit="1"/>
    </xf>
    <xf numFmtId="0" fontId="42" fillId="16" borderId="104" xfId="6" applyNumberFormat="1" applyFont="1" applyFill="1" applyBorder="1" applyAlignment="1">
      <alignment horizontal="right" wrapText="1" shrinkToFit="1"/>
    </xf>
    <xf numFmtId="166" fontId="42" fillId="16" borderId="31" xfId="14" applyNumberFormat="1" applyFont="1" applyFill="1" applyBorder="1" applyAlignment="1">
      <alignment horizontal="right" vertical="center" wrapText="1" shrinkToFit="1"/>
    </xf>
    <xf numFmtId="1" fontId="42" fillId="16" borderId="96" xfId="15" applyNumberFormat="1" applyFont="1" applyFill="1" applyBorder="1" applyAlignment="1">
      <alignment horizontal="right" vertical="center" wrapText="1" shrinkToFit="1"/>
    </xf>
    <xf numFmtId="168" fontId="42" fillId="16" borderId="77" xfId="15" applyNumberFormat="1" applyFont="1" applyFill="1" applyBorder="1" applyAlignment="1">
      <alignment horizontal="right" wrapText="1" shrinkToFit="1"/>
    </xf>
    <xf numFmtId="0" fontId="18" fillId="19" borderId="16" xfId="0" applyFont="1" applyFill="1" applyBorder="1" applyProtection="1">
      <protection locked="0"/>
    </xf>
    <xf numFmtId="0" fontId="18" fillId="19" borderId="12" xfId="0" applyFont="1" applyFill="1" applyBorder="1" applyProtection="1">
      <protection locked="0"/>
    </xf>
    <xf numFmtId="0" fontId="18" fillId="19" borderId="38" xfId="0" applyFont="1" applyFill="1" applyBorder="1" applyProtection="1">
      <protection locked="0"/>
    </xf>
    <xf numFmtId="9" fontId="41" fillId="0" borderId="35" xfId="15" applyFont="1" applyBorder="1" applyAlignment="1">
      <alignment horizontal="right" shrinkToFit="1"/>
    </xf>
    <xf numFmtId="9" fontId="41" fillId="0" borderId="56" xfId="15" applyFont="1" applyBorder="1" applyAlignment="1">
      <alignment horizontal="right" shrinkToFit="1"/>
    </xf>
    <xf numFmtId="9" fontId="42" fillId="18" borderId="42" xfId="15" applyFont="1" applyFill="1" applyBorder="1" applyAlignment="1">
      <alignment horizontal="right" shrinkToFit="1"/>
    </xf>
    <xf numFmtId="9" fontId="42" fillId="16" borderId="101" xfId="15" applyFont="1" applyFill="1" applyBorder="1" applyAlignment="1">
      <alignment horizontal="right" vertical="center" shrinkToFit="1"/>
    </xf>
    <xf numFmtId="9" fontId="42" fillId="16" borderId="60" xfId="15" applyFont="1" applyFill="1" applyBorder="1" applyAlignment="1">
      <alignment horizontal="right" shrinkToFit="1"/>
    </xf>
    <xf numFmtId="9" fontId="42" fillId="4" borderId="52" xfId="15" applyFont="1" applyFill="1" applyBorder="1" applyAlignment="1">
      <alignment horizontal="right" vertical="center" shrinkToFit="1"/>
    </xf>
    <xf numFmtId="2" fontId="18" fillId="19" borderId="12" xfId="0" applyNumberFormat="1" applyFont="1" applyFill="1" applyBorder="1" applyProtection="1">
      <protection locked="0"/>
    </xf>
    <xf numFmtId="2" fontId="18" fillId="19" borderId="16" xfId="0" applyNumberFormat="1" applyFont="1" applyFill="1" applyBorder="1" applyProtection="1">
      <protection locked="0"/>
    </xf>
    <xf numFmtId="2" fontId="18" fillId="19" borderId="38" xfId="0" applyNumberFormat="1" applyFont="1" applyFill="1" applyBorder="1" applyProtection="1">
      <protection locked="0"/>
    </xf>
    <xf numFmtId="2" fontId="18" fillId="20" borderId="6" xfId="0" applyNumberFormat="1" applyFont="1" applyFill="1" applyBorder="1" applyProtection="1">
      <protection locked="0"/>
    </xf>
    <xf numFmtId="2" fontId="18" fillId="19" borderId="6" xfId="0" applyNumberFormat="1" applyFont="1" applyFill="1" applyBorder="1" applyAlignment="1" applyProtection="1">
      <alignment wrapText="1"/>
      <protection locked="0"/>
    </xf>
    <xf numFmtId="2" fontId="18" fillId="20" borderId="35" xfId="0" applyNumberFormat="1" applyFont="1" applyFill="1" applyBorder="1" applyProtection="1">
      <protection locked="0"/>
    </xf>
    <xf numFmtId="2" fontId="18" fillId="19" borderId="35" xfId="0" applyNumberFormat="1" applyFont="1" applyFill="1" applyBorder="1" applyAlignment="1" applyProtection="1">
      <alignment wrapText="1"/>
      <protection locked="0"/>
    </xf>
    <xf numFmtId="9" fontId="31" fillId="0" borderId="0" xfId="0" applyNumberFormat="1" applyFont="1"/>
    <xf numFmtId="9" fontId="41" fillId="0" borderId="56" xfId="0" applyNumberFormat="1" applyFont="1" applyBorder="1" applyAlignment="1">
      <alignment horizontal="right"/>
    </xf>
    <xf numFmtId="9" fontId="41" fillId="0" borderId="35" xfId="0" applyNumberFormat="1" applyFont="1" applyBorder="1" applyAlignment="1">
      <alignment horizontal="right" shrinkToFit="1"/>
    </xf>
    <xf numFmtId="9" fontId="42" fillId="18" borderId="59" xfId="6" applyNumberFormat="1" applyFont="1" applyFill="1" applyBorder="1" applyAlignment="1">
      <alignment horizontal="right" shrinkToFit="1"/>
    </xf>
    <xf numFmtId="9" fontId="41" fillId="0" borderId="56" xfId="0" applyNumberFormat="1" applyFont="1" applyBorder="1" applyAlignment="1">
      <alignment horizontal="right" shrinkToFit="1"/>
    </xf>
    <xf numFmtId="9" fontId="42" fillId="18" borderId="42" xfId="6" applyNumberFormat="1" applyFont="1" applyFill="1" applyBorder="1" applyAlignment="1">
      <alignment horizontal="right" shrinkToFit="1"/>
    </xf>
    <xf numFmtId="9" fontId="42" fillId="16" borderId="101" xfId="14" applyNumberFormat="1" applyFont="1" applyFill="1" applyBorder="1" applyAlignment="1">
      <alignment horizontal="right" vertical="center" shrinkToFit="1"/>
    </xf>
    <xf numFmtId="9" fontId="42" fillId="16" borderId="60" xfId="6" applyNumberFormat="1" applyFont="1" applyFill="1" applyBorder="1" applyAlignment="1">
      <alignment horizontal="right" shrinkToFit="1"/>
    </xf>
    <xf numFmtId="9" fontId="42" fillId="4" borderId="52" xfId="14" applyNumberFormat="1" applyFont="1" applyFill="1" applyBorder="1" applyAlignment="1">
      <alignment horizontal="right" vertical="center" shrinkToFit="1"/>
    </xf>
    <xf numFmtId="9" fontId="0" fillId="0" borderId="0" xfId="0" applyNumberFormat="1"/>
    <xf numFmtId="9" fontId="0" fillId="0" borderId="5" xfId="0" applyNumberFormat="1" applyBorder="1" applyAlignment="1">
      <alignment horizontal="right" shrinkToFit="1"/>
    </xf>
    <xf numFmtId="3" fontId="26" fillId="18" borderId="59" xfId="10" applyNumberFormat="1" applyFont="1" applyFill="1" applyBorder="1" applyAlignment="1">
      <alignment horizontal="right" wrapText="1" shrinkToFit="1"/>
    </xf>
    <xf numFmtId="1" fontId="41" fillId="0" borderId="108" xfId="0" applyNumberFormat="1" applyFont="1" applyBorder="1" applyAlignment="1">
      <alignment horizontal="right" wrapText="1" shrinkToFit="1"/>
    </xf>
    <xf numFmtId="9" fontId="41" fillId="0" borderId="108" xfId="19" applyFont="1" applyBorder="1" applyAlignment="1">
      <alignment horizontal="right" wrapText="1" shrinkToFit="1"/>
    </xf>
    <xf numFmtId="9" fontId="41" fillId="0" borderId="5" xfId="19" applyFont="1" applyFill="1" applyBorder="1" applyAlignment="1">
      <alignment horizontal="right" wrapText="1" shrinkToFit="1"/>
    </xf>
    <xf numFmtId="9" fontId="41" fillId="0" borderId="5" xfId="19" applyFont="1" applyBorder="1" applyAlignment="1">
      <alignment horizontal="right" wrapText="1" shrinkToFit="1"/>
    </xf>
    <xf numFmtId="9" fontId="26" fillId="18" borderId="59" xfId="19" applyFont="1" applyFill="1" applyBorder="1" applyAlignment="1">
      <alignment horizontal="right" wrapText="1" shrinkToFit="1"/>
    </xf>
    <xf numFmtId="9" fontId="43" fillId="4" borderId="9" xfId="19" applyFont="1" applyFill="1" applyBorder="1" applyAlignment="1">
      <alignment horizontal="right" vertical="center" wrapText="1" shrinkToFit="1"/>
    </xf>
    <xf numFmtId="9" fontId="41" fillId="0" borderId="0" xfId="19" applyFont="1" applyAlignment="1">
      <alignment wrapText="1"/>
    </xf>
    <xf numFmtId="1" fontId="41" fillId="0" borderId="24" xfId="0" applyNumberFormat="1" applyFont="1" applyBorder="1" applyAlignment="1">
      <alignment horizontal="right" shrinkToFit="1"/>
    </xf>
    <xf numFmtId="169" fontId="41" fillId="0" borderId="22" xfId="0" applyNumberFormat="1" applyFont="1" applyBorder="1" applyAlignment="1">
      <alignment horizontal="right" shrinkToFit="1"/>
    </xf>
    <xf numFmtId="2" fontId="41" fillId="0" borderId="35" xfId="0" applyNumberFormat="1" applyFont="1" applyBorder="1" applyAlignment="1">
      <alignment horizontal="right" shrinkToFit="1"/>
    </xf>
    <xf numFmtId="0" fontId="15" fillId="0" borderId="0" xfId="0" applyFont="1"/>
    <xf numFmtId="0" fontId="15" fillId="0" borderId="0" xfId="0" applyFont="1" applyAlignment="1">
      <alignment vertical="center"/>
    </xf>
    <xf numFmtId="49" fontId="15" fillId="0" borderId="0" xfId="0" applyNumberFormat="1" applyFont="1"/>
    <xf numFmtId="3" fontId="15" fillId="0" borderId="0" xfId="0" applyNumberFormat="1" applyFont="1" applyAlignment="1">
      <alignment horizontal="right" shrinkToFit="1"/>
    </xf>
    <xf numFmtId="4" fontId="15" fillId="0" borderId="0" xfId="0" applyNumberFormat="1" applyFont="1" applyAlignment="1">
      <alignment horizontal="right" shrinkToFit="1"/>
    </xf>
    <xf numFmtId="0" fontId="75" fillId="0" borderId="0" xfId="0" applyFont="1" applyAlignment="1">
      <alignment horizontal="center" vertical="center"/>
    </xf>
    <xf numFmtId="0" fontId="75" fillId="0" borderId="62" xfId="0" applyFont="1" applyBorder="1" applyAlignment="1">
      <alignment horizontal="center" vertical="center"/>
    </xf>
    <xf numFmtId="1" fontId="41" fillId="0" borderId="72" xfId="0" applyNumberFormat="1" applyFont="1" applyBorder="1" applyAlignment="1">
      <alignment horizontal="right" shrinkToFit="1"/>
    </xf>
    <xf numFmtId="1" fontId="41" fillId="0" borderId="74" xfId="0" applyNumberFormat="1" applyFont="1" applyBorder="1" applyAlignment="1">
      <alignment horizontal="right" shrinkToFit="1"/>
    </xf>
    <xf numFmtId="1" fontId="41" fillId="0" borderId="51" xfId="0" applyNumberFormat="1" applyFont="1" applyBorder="1" applyAlignment="1">
      <alignment horizontal="right" shrinkToFit="1"/>
    </xf>
    <xf numFmtId="166" fontId="41" fillId="0" borderId="35" xfId="0" applyNumberFormat="1" applyFont="1" applyBorder="1" applyAlignment="1">
      <alignment horizontal="right"/>
    </xf>
    <xf numFmtId="2" fontId="41" fillId="0" borderId="72" xfId="0" applyNumberFormat="1" applyFont="1" applyBorder="1" applyAlignment="1">
      <alignment horizontal="right"/>
    </xf>
    <xf numFmtId="2" fontId="41" fillId="0" borderId="51" xfId="0" applyNumberFormat="1" applyFont="1" applyBorder="1" applyAlignment="1">
      <alignment horizontal="right"/>
    </xf>
    <xf numFmtId="2" fontId="41" fillId="0" borderId="74" xfId="0" applyNumberFormat="1" applyFont="1" applyBorder="1" applyAlignment="1">
      <alignment horizontal="right"/>
    </xf>
    <xf numFmtId="0" fontId="41" fillId="0" borderId="5" xfId="0" applyFont="1" applyBorder="1"/>
    <xf numFmtId="0" fontId="41" fillId="0" borderId="18" xfId="0" applyFont="1" applyBorder="1"/>
    <xf numFmtId="0" fontId="41" fillId="0" borderId="19" xfId="0" applyFont="1" applyBorder="1"/>
    <xf numFmtId="1" fontId="41" fillId="0" borderId="35" xfId="0" applyNumberFormat="1" applyFont="1" applyBorder="1" applyAlignment="1">
      <alignment horizontal="justify" vertical="center" wrapText="1"/>
    </xf>
    <xf numFmtId="10" fontId="41" fillId="0" borderId="16" xfId="0" applyNumberFormat="1" applyFont="1" applyBorder="1" applyAlignment="1">
      <alignment horizontal="right" shrinkToFit="1"/>
    </xf>
    <xf numFmtId="10" fontId="41" fillId="0" borderId="18" xfId="15" applyNumberFormat="1" applyFont="1" applyBorder="1" applyAlignment="1">
      <alignment horizontal="right" shrinkToFit="1"/>
    </xf>
    <xf numFmtId="2" fontId="41" fillId="0" borderId="16" xfId="15" applyNumberFormat="1" applyFont="1" applyBorder="1" applyAlignment="1">
      <alignment horizontal="right" shrinkToFit="1"/>
    </xf>
    <xf numFmtId="0" fontId="41" fillId="0" borderId="63" xfId="0" applyFont="1" applyBorder="1"/>
    <xf numFmtId="3" fontId="43" fillId="18" borderId="35" xfId="6" applyNumberFormat="1" applyFont="1" applyFill="1" applyBorder="1" applyAlignment="1">
      <alignment horizontal="right" vertical="center"/>
    </xf>
    <xf numFmtId="3" fontId="43" fillId="18" borderId="16" xfId="6" applyNumberFormat="1" applyFont="1" applyFill="1" applyBorder="1" applyAlignment="1">
      <alignment horizontal="right" shrinkToFit="1"/>
    </xf>
    <xf numFmtId="3" fontId="43" fillId="18" borderId="5" xfId="6" applyNumberFormat="1" applyFont="1" applyFill="1" applyBorder="1" applyAlignment="1">
      <alignment horizontal="right" shrinkToFit="1"/>
    </xf>
    <xf numFmtId="49" fontId="43" fillId="18" borderId="5" xfId="6" applyNumberFormat="1" applyFont="1" applyFill="1" applyBorder="1" applyAlignment="1">
      <alignment horizontal="right" shrinkToFit="1"/>
    </xf>
    <xf numFmtId="1" fontId="43" fillId="18" borderId="18" xfId="6" applyNumberFormat="1" applyFont="1" applyFill="1" applyBorder="1" applyAlignment="1">
      <alignment horizontal="right" shrinkToFit="1"/>
    </xf>
    <xf numFmtId="3" fontId="43" fillId="18" borderId="51" xfId="6" applyNumberFormat="1" applyFont="1" applyFill="1" applyBorder="1" applyAlignment="1">
      <alignment horizontal="right" shrinkToFit="1"/>
    </xf>
    <xf numFmtId="10" fontId="43" fillId="18" borderId="16" xfId="6" applyNumberFormat="1" applyFont="1" applyFill="1" applyBorder="1" applyAlignment="1">
      <alignment horizontal="right" shrinkToFit="1"/>
    </xf>
    <xf numFmtId="10" fontId="43" fillId="18" borderId="18" xfId="6" applyNumberFormat="1" applyFont="1" applyFill="1" applyBorder="1" applyAlignment="1">
      <alignment horizontal="right" shrinkToFit="1"/>
    </xf>
    <xf numFmtId="10" fontId="43" fillId="18" borderId="35" xfId="6" applyNumberFormat="1" applyFont="1" applyFill="1" applyBorder="1" applyAlignment="1">
      <alignment horizontal="right" shrinkToFit="1"/>
    </xf>
    <xf numFmtId="3" fontId="43" fillId="18" borderId="35" xfId="6" applyNumberFormat="1" applyFont="1" applyFill="1" applyBorder="1" applyAlignment="1">
      <alignment horizontal="right" shrinkToFit="1"/>
    </xf>
    <xf numFmtId="4" fontId="43" fillId="18" borderId="16" xfId="6" applyNumberFormat="1" applyFont="1" applyFill="1" applyBorder="1" applyAlignment="1">
      <alignment horizontal="right" shrinkToFit="1"/>
    </xf>
    <xf numFmtId="4" fontId="43" fillId="18" borderId="18" xfId="6" applyNumberFormat="1" applyFont="1" applyFill="1" applyBorder="1" applyAlignment="1">
      <alignment horizontal="right" shrinkToFit="1"/>
    </xf>
    <xf numFmtId="166" fontId="43" fillId="18" borderId="18" xfId="6" applyNumberFormat="1" applyFont="1" applyFill="1" applyBorder="1" applyAlignment="1">
      <alignment horizontal="right" shrinkToFit="1"/>
    </xf>
    <xf numFmtId="1" fontId="43" fillId="18" borderId="17" xfId="6" applyNumberFormat="1" applyFont="1" applyFill="1" applyBorder="1" applyAlignment="1">
      <alignment horizontal="right" shrinkToFit="1"/>
    </xf>
    <xf numFmtId="1" fontId="43" fillId="18" borderId="74" xfId="6" applyNumberFormat="1" applyFont="1" applyFill="1" applyBorder="1" applyAlignment="1">
      <alignment horizontal="right" shrinkToFit="1"/>
    </xf>
    <xf numFmtId="1" fontId="43" fillId="18" borderId="5" xfId="6" applyNumberFormat="1" applyFont="1" applyFill="1" applyBorder="1" applyAlignment="1">
      <alignment horizontal="right" shrinkToFit="1"/>
    </xf>
    <xf numFmtId="3" fontId="41" fillId="0" borderId="74" xfId="0" applyNumberFormat="1" applyFont="1" applyBorder="1" applyAlignment="1">
      <alignment horizontal="right" shrinkToFit="1"/>
    </xf>
    <xf numFmtId="166" fontId="41" fillId="0" borderId="51" xfId="0" applyNumberFormat="1" applyFont="1" applyBorder="1" applyAlignment="1">
      <alignment horizontal="right" shrinkToFit="1"/>
    </xf>
    <xf numFmtId="2" fontId="41" fillId="0" borderId="72" xfId="15" applyNumberFormat="1" applyFont="1" applyBorder="1" applyAlignment="1">
      <alignment horizontal="right" shrinkToFit="1"/>
    </xf>
    <xf numFmtId="2" fontId="41" fillId="0" borderId="51" xfId="0" applyNumberFormat="1" applyFont="1" applyBorder="1" applyAlignment="1">
      <alignment horizontal="right" shrinkToFit="1"/>
    </xf>
    <xf numFmtId="4" fontId="41" fillId="0" borderId="72" xfId="0" applyNumberFormat="1" applyFont="1" applyBorder="1" applyAlignment="1">
      <alignment horizontal="right" shrinkToFit="1"/>
    </xf>
    <xf numFmtId="4" fontId="41" fillId="0" borderId="74" xfId="0" applyNumberFormat="1" applyFont="1" applyBorder="1" applyAlignment="1">
      <alignment horizontal="right" shrinkToFit="1"/>
    </xf>
    <xf numFmtId="3" fontId="43" fillId="16" borderId="42" xfId="14" applyNumberFormat="1" applyFont="1" applyFill="1" applyBorder="1" applyAlignment="1">
      <alignment horizontal="left" vertical="center"/>
    </xf>
    <xf numFmtId="3" fontId="43" fillId="16" borderId="75" xfId="14" applyNumberFormat="1" applyFont="1" applyFill="1" applyBorder="1" applyAlignment="1">
      <alignment horizontal="right" vertical="center" shrinkToFit="1"/>
    </xf>
    <xf numFmtId="3" fontId="43" fillId="16" borderId="59" xfId="14" applyNumberFormat="1" applyFont="1" applyFill="1" applyBorder="1" applyAlignment="1">
      <alignment horizontal="right" vertical="center" shrinkToFit="1"/>
    </xf>
    <xf numFmtId="3" fontId="43" fillId="16" borderId="76" xfId="14" applyNumberFormat="1" applyFont="1" applyFill="1" applyBorder="1" applyAlignment="1">
      <alignment horizontal="right" vertical="center" shrinkToFit="1"/>
    </xf>
    <xf numFmtId="3" fontId="43" fillId="16" borderId="60" xfId="14" applyNumberFormat="1" applyFont="1" applyFill="1" applyBorder="1" applyAlignment="1">
      <alignment horizontal="right" vertical="center" shrinkToFit="1"/>
    </xf>
    <xf numFmtId="10" fontId="43" fillId="16" borderId="75" xfId="14" applyNumberFormat="1" applyFont="1" applyFill="1" applyBorder="1" applyAlignment="1">
      <alignment horizontal="right" vertical="center" shrinkToFit="1"/>
    </xf>
    <xf numFmtId="10" fontId="43" fillId="16" borderId="60" xfId="14" applyNumberFormat="1" applyFont="1" applyFill="1" applyBorder="1" applyAlignment="1">
      <alignment horizontal="right" vertical="center" shrinkToFit="1"/>
    </xf>
    <xf numFmtId="10" fontId="43" fillId="16" borderId="42" xfId="14" applyNumberFormat="1" applyFont="1" applyFill="1" applyBorder="1" applyAlignment="1">
      <alignment horizontal="right" vertical="center" shrinkToFit="1"/>
    </xf>
    <xf numFmtId="3" fontId="43" fillId="16" borderId="42" xfId="14" applyNumberFormat="1" applyFont="1" applyFill="1" applyBorder="1" applyAlignment="1">
      <alignment horizontal="right" vertical="center" shrinkToFit="1"/>
    </xf>
    <xf numFmtId="3" fontId="43" fillId="16" borderId="104" xfId="14" applyNumberFormat="1" applyFont="1" applyFill="1" applyBorder="1" applyAlignment="1">
      <alignment horizontal="right" vertical="center" shrinkToFit="1"/>
    </xf>
    <xf numFmtId="4" fontId="43" fillId="16" borderId="104" xfId="14" applyNumberFormat="1" applyFont="1" applyFill="1" applyBorder="1" applyAlignment="1">
      <alignment horizontal="right" vertical="center" shrinkToFit="1"/>
    </xf>
    <xf numFmtId="166" fontId="43" fillId="16" borderId="104" xfId="14" applyNumberFormat="1" applyFont="1" applyFill="1" applyBorder="1" applyAlignment="1">
      <alignment horizontal="right" vertical="center" shrinkToFit="1"/>
    </xf>
    <xf numFmtId="1" fontId="43" fillId="16" borderId="100" xfId="14" applyNumberFormat="1" applyFont="1" applyFill="1" applyBorder="1" applyAlignment="1">
      <alignment horizontal="right" vertical="center" shrinkToFit="1"/>
    </xf>
    <xf numFmtId="1" fontId="43" fillId="16" borderId="104" xfId="14" applyNumberFormat="1" applyFont="1" applyFill="1" applyBorder="1" applyAlignment="1">
      <alignment horizontal="right" vertical="center" shrinkToFit="1"/>
    </xf>
    <xf numFmtId="1" fontId="43" fillId="16" borderId="77" xfId="14" applyNumberFormat="1" applyFont="1" applyFill="1" applyBorder="1" applyAlignment="1">
      <alignment horizontal="right" vertical="center" shrinkToFit="1"/>
    </xf>
    <xf numFmtId="0" fontId="40" fillId="10" borderId="30" xfId="0" applyFont="1" applyFill="1" applyBorder="1"/>
    <xf numFmtId="0" fontId="76" fillId="0" borderId="65" xfId="0" applyFont="1" applyBorder="1"/>
    <xf numFmtId="49" fontId="76" fillId="0" borderId="65" xfId="0" applyNumberFormat="1" applyFont="1" applyBorder="1"/>
    <xf numFmtId="0" fontId="76" fillId="10" borderId="23" xfId="0" applyFont="1" applyFill="1" applyBorder="1" applyAlignment="1">
      <alignment horizontal="center"/>
    </xf>
    <xf numFmtId="0" fontId="26" fillId="0" borderId="0" xfId="0" applyFont="1" applyAlignment="1">
      <alignment vertical="center" wrapText="1"/>
    </xf>
    <xf numFmtId="0" fontId="26" fillId="2" borderId="58" xfId="0" applyFont="1" applyFill="1" applyBorder="1" applyAlignment="1">
      <alignment horizontal="center" vertical="center"/>
    </xf>
    <xf numFmtId="0" fontId="26" fillId="16" borderId="68" xfId="0" applyFont="1" applyFill="1" applyBorder="1" applyAlignment="1">
      <alignment vertical="center" wrapText="1"/>
    </xf>
    <xf numFmtId="0" fontId="26" fillId="16" borderId="93" xfId="0" applyFont="1" applyFill="1" applyBorder="1" applyAlignment="1">
      <alignment vertical="center" wrapText="1"/>
    </xf>
    <xf numFmtId="0" fontId="26" fillId="16" borderId="94" xfId="0" applyFont="1" applyFill="1" applyBorder="1" applyAlignment="1">
      <alignment vertical="center" wrapText="1"/>
    </xf>
    <xf numFmtId="0" fontId="26" fillId="16" borderId="50" xfId="0" applyFont="1" applyFill="1" applyBorder="1" applyAlignment="1">
      <alignment vertical="center" wrapText="1"/>
    </xf>
    <xf numFmtId="0" fontId="26" fillId="16" borderId="12" xfId="0" applyFont="1" applyFill="1" applyBorder="1" applyAlignment="1">
      <alignment vertical="center" wrapText="1"/>
    </xf>
    <xf numFmtId="49" fontId="21" fillId="21" borderId="46" xfId="0" applyNumberFormat="1" applyFont="1" applyFill="1" applyBorder="1"/>
    <xf numFmtId="3" fontId="26" fillId="18" borderId="35" xfId="6" applyNumberFormat="1" applyFont="1" applyFill="1" applyBorder="1" applyAlignment="1">
      <alignment horizontal="right"/>
    </xf>
    <xf numFmtId="3" fontId="26" fillId="16" borderId="42" xfId="14" applyNumberFormat="1" applyFont="1" applyFill="1" applyBorder="1" applyAlignment="1">
      <alignment horizontal="left" vertical="center"/>
    </xf>
    <xf numFmtId="0" fontId="31" fillId="0" borderId="0" xfId="0" applyFont="1" applyAlignment="1">
      <alignment horizontal="justify" vertical="top" wrapText="1"/>
    </xf>
    <xf numFmtId="1" fontId="50" fillId="0" borderId="72" xfId="0" applyNumberFormat="1" applyFont="1" applyBorder="1" applyAlignment="1">
      <alignment horizontal="right" shrinkToFit="1"/>
    </xf>
    <xf numFmtId="1" fontId="50" fillId="0" borderId="51" xfId="0" applyNumberFormat="1" applyFont="1" applyBorder="1" applyAlignment="1">
      <alignment horizontal="right" shrinkToFit="1"/>
    </xf>
    <xf numFmtId="3" fontId="60" fillId="18" borderId="107" xfId="6" applyNumberFormat="1" applyFont="1" applyFill="1" applyBorder="1" applyAlignment="1">
      <alignment horizontal="right"/>
    </xf>
    <xf numFmtId="9" fontId="54" fillId="2" borderId="5" xfId="15" applyFont="1" applyFill="1" applyBorder="1" applyAlignment="1">
      <alignment horizontal="center" wrapText="1"/>
    </xf>
    <xf numFmtId="0" fontId="77" fillId="0" borderId="0" xfId="0" applyFont="1" applyAlignment="1">
      <alignment horizontal="left" vertical="center"/>
    </xf>
    <xf numFmtId="0" fontId="0" fillId="22" borderId="0" xfId="0" applyFill="1"/>
    <xf numFmtId="0" fontId="41" fillId="0" borderId="53" xfId="0" applyFont="1" applyBorder="1" applyAlignment="1">
      <alignment horizontal="right"/>
    </xf>
    <xf numFmtId="2" fontId="41" fillId="0" borderId="72" xfId="0" applyNumberFormat="1" applyFont="1" applyBorder="1" applyAlignment="1">
      <alignment horizontal="right" shrinkToFit="1"/>
    </xf>
    <xf numFmtId="0" fontId="41" fillId="0" borderId="72" xfId="0" applyFont="1" applyBorder="1" applyAlignment="1">
      <alignment horizontal="right" shrinkToFit="1"/>
    </xf>
    <xf numFmtId="3" fontId="42" fillId="16" borderId="82" xfId="14" applyNumberFormat="1" applyFont="1" applyFill="1" applyBorder="1" applyAlignment="1">
      <alignment horizontal="right" vertical="center" shrinkToFit="1"/>
    </xf>
    <xf numFmtId="0" fontId="43" fillId="4" borderId="40" xfId="14" applyFont="1" applyFill="1" applyBorder="1" applyAlignment="1">
      <alignment horizontal="right" vertical="center" shrinkToFit="1"/>
    </xf>
    <xf numFmtId="49" fontId="41" fillId="0" borderId="17" xfId="0" applyNumberFormat="1" applyFont="1" applyBorder="1" applyAlignment="1">
      <alignment horizontal="right" shrinkToFit="1"/>
    </xf>
    <xf numFmtId="1" fontId="10" fillId="0" borderId="0" xfId="0" applyNumberFormat="1" applyFont="1" applyAlignment="1">
      <alignment horizontal="left" wrapText="1"/>
    </xf>
    <xf numFmtId="49" fontId="10" fillId="0" borderId="0" xfId="0" applyNumberFormat="1" applyFont="1"/>
    <xf numFmtId="9" fontId="26" fillId="18" borderId="59" xfId="6" applyNumberFormat="1" applyFont="1" applyFill="1" applyBorder="1" applyAlignment="1">
      <alignment horizontal="right" shrinkToFit="1"/>
    </xf>
    <xf numFmtId="9" fontId="31" fillId="0" borderId="54" xfId="0" applyNumberFormat="1" applyFont="1" applyBorder="1" applyAlignment="1">
      <alignment horizontal="right" shrinkToFit="1"/>
    </xf>
    <xf numFmtId="9" fontId="41" fillId="0" borderId="5" xfId="0" applyNumberFormat="1" applyFont="1" applyBorder="1" applyAlignment="1">
      <alignment horizontal="right" shrinkToFit="1"/>
    </xf>
    <xf numFmtId="9" fontId="42" fillId="16" borderId="31" xfId="14" applyNumberFormat="1" applyFont="1" applyFill="1" applyBorder="1" applyAlignment="1">
      <alignment horizontal="right" vertical="center" shrinkToFit="1"/>
    </xf>
    <xf numFmtId="9" fontId="43" fillId="4" borderId="9" xfId="14" applyNumberFormat="1" applyFont="1" applyFill="1" applyBorder="1" applyAlignment="1">
      <alignment horizontal="right" vertical="center" shrinkToFit="1"/>
    </xf>
    <xf numFmtId="9" fontId="41" fillId="0" borderId="0" xfId="0" applyNumberFormat="1" applyFont="1"/>
    <xf numFmtId="9" fontId="41" fillId="0" borderId="19" xfId="0" applyNumberFormat="1" applyFont="1" applyBorder="1" applyAlignment="1">
      <alignment horizontal="right" shrinkToFit="1"/>
    </xf>
    <xf numFmtId="9" fontId="26" fillId="18" borderId="77" xfId="6" applyNumberFormat="1" applyFont="1" applyFill="1" applyBorder="1" applyAlignment="1">
      <alignment horizontal="right" shrinkToFit="1"/>
    </xf>
    <xf numFmtId="9" fontId="26" fillId="18" borderId="110" xfId="6" applyNumberFormat="1" applyFont="1" applyFill="1" applyBorder="1" applyAlignment="1">
      <alignment horizontal="right" shrinkToFit="1"/>
    </xf>
    <xf numFmtId="9" fontId="42" fillId="16" borderId="73" xfId="14" applyNumberFormat="1" applyFont="1" applyFill="1" applyBorder="1" applyAlignment="1">
      <alignment horizontal="right" vertical="center" shrinkToFit="1"/>
    </xf>
    <xf numFmtId="9" fontId="42" fillId="16" borderId="75" xfId="6" applyNumberFormat="1" applyFont="1" applyFill="1" applyBorder="1" applyAlignment="1">
      <alignment horizontal="right" shrinkToFit="1"/>
    </xf>
    <xf numFmtId="9" fontId="42" fillId="4" borderId="32" xfId="14" applyNumberFormat="1" applyFont="1" applyFill="1" applyBorder="1" applyAlignment="1">
      <alignment horizontal="right" vertical="center" shrinkToFit="1"/>
    </xf>
    <xf numFmtId="9" fontId="40" fillId="0" borderId="0" xfId="0" applyNumberFormat="1" applyFont="1"/>
    <xf numFmtId="9" fontId="42" fillId="4" borderId="9" xfId="14" applyNumberFormat="1" applyFont="1" applyFill="1" applyBorder="1" applyAlignment="1">
      <alignment horizontal="right" vertical="center" shrinkToFit="1"/>
    </xf>
    <xf numFmtId="9" fontId="41" fillId="0" borderId="22" xfId="0" applyNumberFormat="1" applyFont="1" applyBorder="1" applyAlignment="1">
      <alignment horizontal="right" shrinkToFit="1"/>
    </xf>
    <xf numFmtId="9" fontId="41" fillId="0" borderId="5" xfId="0" applyNumberFormat="1" applyFont="1" applyBorder="1" applyAlignment="1">
      <alignment horizontal="right" wrapText="1" shrinkToFit="1"/>
    </xf>
    <xf numFmtId="9" fontId="26" fillId="18" borderId="59" xfId="6" applyNumberFormat="1" applyFont="1" applyFill="1" applyBorder="1" applyAlignment="1">
      <alignment horizontal="right" wrapText="1" shrinkToFit="1"/>
    </xf>
    <xf numFmtId="9" fontId="31" fillId="0" borderId="54" xfId="0" applyNumberFormat="1" applyFont="1" applyBorder="1" applyAlignment="1">
      <alignment horizontal="right" wrapText="1" shrinkToFit="1"/>
    </xf>
    <xf numFmtId="9" fontId="41" fillId="14" borderId="5" xfId="0" applyNumberFormat="1" applyFont="1" applyFill="1" applyBorder="1" applyAlignment="1">
      <alignment horizontal="right" wrapText="1" shrinkToFit="1"/>
    </xf>
    <xf numFmtId="9" fontId="42" fillId="16" borderId="96" xfId="14" applyNumberFormat="1" applyFont="1" applyFill="1" applyBorder="1" applyAlignment="1">
      <alignment horizontal="right" vertical="center" wrapText="1" shrinkToFit="1"/>
    </xf>
    <xf numFmtId="9" fontId="42" fillId="16" borderId="60" xfId="6" applyNumberFormat="1" applyFont="1" applyFill="1" applyBorder="1" applyAlignment="1">
      <alignment horizontal="right" wrapText="1" shrinkToFit="1"/>
    </xf>
    <xf numFmtId="9" fontId="43" fillId="4" borderId="9" xfId="14" applyNumberFormat="1" applyFont="1" applyFill="1" applyBorder="1" applyAlignment="1">
      <alignment horizontal="right" vertical="center" wrapText="1" shrinkToFit="1"/>
    </xf>
    <xf numFmtId="9" fontId="41" fillId="0" borderId="0" xfId="0" applyNumberFormat="1" applyFont="1" applyAlignment="1">
      <alignment wrapText="1"/>
    </xf>
    <xf numFmtId="9" fontId="42" fillId="16" borderId="60" xfId="15" applyFont="1" applyFill="1" applyBorder="1" applyAlignment="1">
      <alignment horizontal="right" wrapText="1" shrinkToFit="1"/>
    </xf>
    <xf numFmtId="0" fontId="0" fillId="0" borderId="0" xfId="0" applyAlignment="1">
      <alignment horizontal="center"/>
    </xf>
    <xf numFmtId="0" fontId="78" fillId="0" borderId="0" xfId="0" applyFont="1" applyAlignment="1">
      <alignment horizontal="left" vertical="center"/>
    </xf>
    <xf numFmtId="0" fontId="29" fillId="21" borderId="9" xfId="0" applyFont="1" applyFill="1" applyBorder="1" applyAlignment="1">
      <alignment horizontal="center" vertical="center" wrapText="1"/>
    </xf>
    <xf numFmtId="1" fontId="18" fillId="0" borderId="68" xfId="0" applyNumberFormat="1" applyFont="1" applyBorder="1" applyProtection="1">
      <protection locked="0"/>
    </xf>
    <xf numFmtId="1" fontId="0" fillId="23" borderId="5" xfId="0" applyNumberFormat="1" applyFill="1" applyBorder="1" applyProtection="1">
      <protection locked="0"/>
    </xf>
    <xf numFmtId="1" fontId="18" fillId="23" borderId="47" xfId="0" applyNumberFormat="1" applyFont="1" applyFill="1" applyBorder="1" applyProtection="1">
      <protection locked="0"/>
    </xf>
    <xf numFmtId="1" fontId="18" fillId="4" borderId="5" xfId="0" applyNumberFormat="1" applyFont="1" applyFill="1" applyBorder="1" applyProtection="1">
      <protection locked="0"/>
    </xf>
    <xf numFmtId="0" fontId="26" fillId="16" borderId="1" xfId="0" applyFont="1" applyFill="1" applyBorder="1" applyAlignment="1">
      <alignment vertical="center" wrapText="1"/>
    </xf>
    <xf numFmtId="166" fontId="41" fillId="0" borderId="18" xfId="0" applyNumberFormat="1" applyFont="1" applyBorder="1" applyAlignment="1">
      <alignment horizontal="right"/>
    </xf>
    <xf numFmtId="0" fontId="0" fillId="0" borderId="0" xfId="0" applyAlignment="1">
      <alignment horizontal="left"/>
    </xf>
    <xf numFmtId="0" fontId="29" fillId="21" borderId="9" xfId="0" applyFont="1" applyFill="1" applyBorder="1" applyAlignment="1">
      <alignment horizontal="left" vertical="center" wrapText="1"/>
    </xf>
    <xf numFmtId="166" fontId="43" fillId="18" borderId="18" xfId="6" applyNumberFormat="1" applyFont="1" applyFill="1" applyBorder="1" applyAlignment="1" applyProtection="1">
      <alignment horizontal="right" shrinkToFit="1"/>
    </xf>
    <xf numFmtId="1" fontId="41" fillId="0" borderId="17" xfId="0" applyNumberFormat="1" applyFont="1" applyBorder="1" applyAlignment="1" applyProtection="1">
      <alignment horizontal="right" shrinkToFit="1"/>
      <protection locked="0"/>
    </xf>
    <xf numFmtId="1" fontId="43" fillId="18" borderId="18" xfId="6" applyNumberFormat="1" applyFont="1" applyFill="1" applyBorder="1" applyAlignment="1" applyProtection="1">
      <alignment horizontal="right" shrinkToFit="1"/>
      <protection locked="0"/>
    </xf>
    <xf numFmtId="1" fontId="41" fillId="0" borderId="74" xfId="0" applyNumberFormat="1" applyFont="1" applyBorder="1" applyAlignment="1" applyProtection="1">
      <alignment horizontal="right" shrinkToFit="1"/>
      <protection locked="0"/>
    </xf>
    <xf numFmtId="1" fontId="43" fillId="16" borderId="104" xfId="14" applyNumberFormat="1" applyFont="1" applyFill="1" applyBorder="1" applyAlignment="1" applyProtection="1">
      <alignment horizontal="right" vertical="center" shrinkToFit="1"/>
      <protection locked="0"/>
    </xf>
    <xf numFmtId="166" fontId="82" fillId="0" borderId="18" xfId="0" applyNumberFormat="1" applyFont="1" applyBorder="1" applyAlignment="1">
      <alignment horizontal="right"/>
    </xf>
    <xf numFmtId="2" fontId="18" fillId="27" borderId="6" xfId="0" applyNumberFormat="1" applyFont="1" applyFill="1" applyBorder="1" applyProtection="1">
      <protection locked="0"/>
    </xf>
    <xf numFmtId="0" fontId="58" fillId="13" borderId="47" xfId="0" applyFont="1" applyFill="1" applyBorder="1" applyAlignment="1">
      <alignment horizontal="justify" vertical="top" wrapText="1"/>
    </xf>
    <xf numFmtId="0" fontId="58" fillId="13" borderId="85" xfId="0" applyFont="1" applyFill="1" applyBorder="1" applyAlignment="1">
      <alignment horizontal="justify" vertical="top" wrapText="1"/>
    </xf>
    <xf numFmtId="0" fontId="58" fillId="13" borderId="33" xfId="0" applyFont="1" applyFill="1" applyBorder="1" applyAlignment="1">
      <alignment horizontal="justify" vertical="top" wrapText="1"/>
    </xf>
    <xf numFmtId="0" fontId="26" fillId="16" borderId="36" xfId="25" applyFont="1" applyFill="1" applyBorder="1" applyAlignment="1">
      <alignment vertical="center" wrapText="1"/>
    </xf>
    <xf numFmtId="0" fontId="26" fillId="16" borderId="12" xfId="25" applyFont="1" applyFill="1" applyBorder="1" applyAlignment="1">
      <alignment vertical="center" wrapText="1"/>
    </xf>
    <xf numFmtId="2" fontId="42" fillId="18" borderId="42" xfId="6" applyNumberFormat="1" applyFont="1" applyFill="1" applyBorder="1" applyAlignment="1">
      <alignment horizontal="right" shrinkToFit="1"/>
    </xf>
    <xf numFmtId="2" fontId="42" fillId="16" borderId="101" xfId="14" applyNumberFormat="1" applyFont="1" applyFill="1" applyBorder="1" applyAlignment="1">
      <alignment horizontal="right" vertical="center" shrinkToFit="1"/>
    </xf>
    <xf numFmtId="2" fontId="42" fillId="16" borderId="104" xfId="6" applyNumberFormat="1" applyFont="1" applyFill="1" applyBorder="1" applyAlignment="1">
      <alignment horizontal="right" shrinkToFit="1"/>
    </xf>
    <xf numFmtId="2" fontId="26" fillId="18" borderId="42" xfId="6" applyNumberFormat="1" applyFont="1" applyFill="1" applyBorder="1" applyAlignment="1">
      <alignment horizontal="right" shrinkToFit="1"/>
    </xf>
    <xf numFmtId="2" fontId="41" fillId="14" borderId="35" xfId="0" applyNumberFormat="1" applyFont="1" applyFill="1" applyBorder="1" applyAlignment="1">
      <alignment horizontal="right" shrinkToFit="1"/>
    </xf>
    <xf numFmtId="2" fontId="26" fillId="16" borderId="101" xfId="14" applyNumberFormat="1" applyFont="1" applyFill="1" applyBorder="1" applyAlignment="1">
      <alignment horizontal="right" vertical="center" shrinkToFit="1"/>
    </xf>
    <xf numFmtId="2" fontId="26" fillId="16" borderId="104" xfId="6" applyNumberFormat="1" applyFont="1" applyFill="1" applyBorder="1" applyAlignment="1">
      <alignment horizontal="right" shrinkToFit="1"/>
    </xf>
    <xf numFmtId="2" fontId="41" fillId="0" borderId="72" xfId="0" applyNumberFormat="1" applyFont="1" applyBorder="1" applyAlignment="1">
      <alignment horizontal="justify" vertical="top" wrapText="1"/>
    </xf>
    <xf numFmtId="2" fontId="26" fillId="18" borderId="106" xfId="6" applyNumberFormat="1" applyFont="1" applyFill="1" applyBorder="1" applyAlignment="1">
      <alignment horizontal="right"/>
    </xf>
    <xf numFmtId="2" fontId="42" fillId="16" borderId="79" xfId="14" applyNumberFormat="1" applyFont="1" applyFill="1" applyBorder="1" applyAlignment="1">
      <alignment horizontal="right" vertical="center" shrinkToFit="1"/>
    </xf>
    <xf numFmtId="2" fontId="42" fillId="16" borderId="75" xfId="6" applyNumberFormat="1" applyFont="1" applyFill="1" applyBorder="1" applyAlignment="1">
      <alignment horizontal="right" shrinkToFit="1"/>
    </xf>
    <xf numFmtId="2" fontId="41" fillId="14" borderId="35" xfId="0" applyNumberFormat="1" applyFont="1" applyFill="1" applyBorder="1" applyAlignment="1">
      <alignment horizontal="right" wrapText="1" shrinkToFit="1"/>
    </xf>
    <xf numFmtId="2" fontId="41" fillId="0" borderId="35" xfId="0" applyNumberFormat="1" applyFont="1" applyBorder="1" applyAlignment="1">
      <alignment horizontal="right" wrapText="1" shrinkToFit="1"/>
    </xf>
    <xf numFmtId="2" fontId="26" fillId="16" borderId="101" xfId="14" applyNumberFormat="1" applyFont="1" applyFill="1" applyBorder="1" applyAlignment="1">
      <alignment horizontal="right" vertical="center" wrapText="1" shrinkToFit="1"/>
    </xf>
    <xf numFmtId="2" fontId="26" fillId="16" borderId="104" xfId="6" applyNumberFormat="1" applyFont="1" applyFill="1" applyBorder="1" applyAlignment="1">
      <alignment horizontal="right" wrapText="1" shrinkToFit="1"/>
    </xf>
    <xf numFmtId="49" fontId="18" fillId="0" borderId="19" xfId="51" applyNumberFormat="1" applyFont="1" applyBorder="1" applyProtection="1">
      <protection locked="0"/>
    </xf>
    <xf numFmtId="49" fontId="18" fillId="0" borderId="5" xfId="51" applyNumberFormat="1" applyFont="1" applyBorder="1" applyProtection="1">
      <protection locked="0"/>
    </xf>
    <xf numFmtId="49" fontId="18" fillId="0" borderId="33" xfId="51" applyNumberFormat="1" applyFont="1" applyBorder="1" applyProtection="1">
      <protection locked="0"/>
    </xf>
    <xf numFmtId="49" fontId="18" fillId="0" borderId="34" xfId="51" applyNumberFormat="1" applyFont="1" applyBorder="1" applyProtection="1">
      <protection locked="0"/>
    </xf>
    <xf numFmtId="1" fontId="18" fillId="0" borderId="34" xfId="51" applyNumberFormat="1" applyFont="1" applyBorder="1" applyProtection="1">
      <protection locked="0"/>
    </xf>
    <xf numFmtId="1" fontId="18" fillId="0" borderId="33" xfId="51" applyNumberFormat="1" applyFont="1" applyBorder="1" applyProtection="1">
      <protection locked="0"/>
    </xf>
    <xf numFmtId="49" fontId="18" fillId="0" borderId="38" xfId="51" applyNumberFormat="1" applyFont="1" applyBorder="1" applyProtection="1">
      <protection locked="0"/>
    </xf>
    <xf numFmtId="49" fontId="5" fillId="0" borderId="38" xfId="51" applyNumberFormat="1" applyFont="1" applyBorder="1" applyProtection="1">
      <protection locked="0"/>
    </xf>
    <xf numFmtId="49" fontId="5" fillId="0" borderId="33" xfId="51" applyNumberFormat="1" applyFont="1" applyBorder="1" applyProtection="1">
      <protection locked="0"/>
    </xf>
    <xf numFmtId="49" fontId="5" fillId="0" borderId="34" xfId="51" applyNumberFormat="1" applyFont="1" applyBorder="1" applyProtection="1">
      <protection locked="0"/>
    </xf>
    <xf numFmtId="0" fontId="5" fillId="0" borderId="0" xfId="0" applyFont="1"/>
    <xf numFmtId="1" fontId="5" fillId="0" borderId="0" xfId="0" applyNumberFormat="1" applyFont="1"/>
    <xf numFmtId="0" fontId="49" fillId="16" borderId="25" xfId="0" applyFont="1" applyFill="1" applyBorder="1" applyAlignment="1">
      <alignment horizontal="center"/>
    </xf>
    <xf numFmtId="0" fontId="49" fillId="16" borderId="26" xfId="0" applyFont="1" applyFill="1" applyBorder="1" applyAlignment="1">
      <alignment horizontal="center"/>
    </xf>
    <xf numFmtId="0" fontId="49" fillId="16" borderId="1" xfId="0" applyFont="1" applyFill="1" applyBorder="1" applyAlignment="1">
      <alignment horizontal="center"/>
    </xf>
    <xf numFmtId="0" fontId="59" fillId="16" borderId="112" xfId="0" applyFont="1" applyFill="1" applyBorder="1" applyAlignment="1">
      <alignment horizontal="center" vertical="center" wrapText="1"/>
    </xf>
    <xf numFmtId="0" fontId="59" fillId="16" borderId="85" xfId="0" applyFont="1" applyFill="1" applyBorder="1" applyAlignment="1">
      <alignment horizontal="center" vertical="center" wrapText="1"/>
    </xf>
    <xf numFmtId="0" fontId="59" fillId="16" borderId="113" xfId="0" applyFont="1" applyFill="1" applyBorder="1" applyAlignment="1">
      <alignment horizontal="center" vertical="center" wrapText="1"/>
    </xf>
    <xf numFmtId="0" fontId="59" fillId="16" borderId="94" xfId="0" applyFont="1" applyFill="1" applyBorder="1" applyAlignment="1">
      <alignment horizontal="center" vertical="center" wrapText="1"/>
    </xf>
    <xf numFmtId="0" fontId="59" fillId="16" borderId="86" xfId="0" applyFont="1" applyFill="1" applyBorder="1" applyAlignment="1">
      <alignment horizontal="center" vertical="center" wrapText="1"/>
    </xf>
    <xf numFmtId="0" fontId="59" fillId="16" borderId="96" xfId="0" applyFont="1" applyFill="1" applyBorder="1" applyAlignment="1">
      <alignment horizontal="center" vertical="center" wrapText="1"/>
    </xf>
    <xf numFmtId="0" fontId="50" fillId="0" borderId="0" xfId="14" applyFont="1" applyAlignment="1">
      <alignment horizontal="left" vertical="center" wrapText="1"/>
    </xf>
    <xf numFmtId="0" fontId="57" fillId="16" borderId="68" xfId="0" applyFont="1" applyFill="1" applyBorder="1" applyAlignment="1">
      <alignment horizontal="left" vertical="center"/>
    </xf>
    <xf numFmtId="0" fontId="57" fillId="16" borderId="6" xfId="0" applyFont="1" applyFill="1" applyBorder="1" applyAlignment="1">
      <alignment horizontal="left" vertical="center"/>
    </xf>
    <xf numFmtId="0" fontId="58" fillId="16" borderId="25" xfId="0" applyFont="1" applyFill="1" applyBorder="1" applyAlignment="1">
      <alignment horizontal="center" vertical="center" wrapText="1"/>
    </xf>
    <xf numFmtId="0" fontId="58" fillId="16" borderId="1" xfId="0" applyFont="1" applyFill="1" applyBorder="1" applyAlignment="1">
      <alignment horizontal="center" vertical="center" wrapText="1"/>
    </xf>
    <xf numFmtId="0" fontId="58" fillId="16" borderId="114" xfId="0" applyFont="1" applyFill="1" applyBorder="1" applyAlignment="1">
      <alignment horizontal="center" vertical="center" wrapText="1"/>
    </xf>
    <xf numFmtId="0" fontId="58" fillId="16" borderId="105" xfId="0" applyFont="1" applyFill="1" applyBorder="1" applyAlignment="1">
      <alignment horizontal="center" vertical="center" wrapText="1"/>
    </xf>
    <xf numFmtId="0" fontId="58" fillId="16" borderId="68" xfId="0" applyFont="1" applyFill="1" applyBorder="1" applyAlignment="1">
      <alignment horizontal="center" vertical="center" wrapText="1"/>
    </xf>
    <xf numFmtId="0" fontId="58" fillId="16" borderId="116" xfId="0" applyFont="1" applyFill="1" applyBorder="1" applyAlignment="1">
      <alignment horizontal="center" vertical="center" wrapText="1"/>
    </xf>
    <xf numFmtId="0" fontId="58" fillId="16" borderId="91" xfId="0" applyFont="1" applyFill="1" applyBorder="1" applyAlignment="1">
      <alignment horizontal="center" vertical="center" wrapText="1"/>
    </xf>
    <xf numFmtId="0" fontId="59" fillId="16" borderId="116" xfId="0" applyFont="1" applyFill="1" applyBorder="1" applyAlignment="1">
      <alignment horizontal="center" vertical="center" wrapText="1"/>
    </xf>
    <xf numFmtId="0" fontId="59" fillId="16" borderId="63" xfId="0" applyFont="1" applyFill="1" applyBorder="1" applyAlignment="1">
      <alignment horizontal="center" vertical="center" wrapText="1"/>
    </xf>
    <xf numFmtId="0" fontId="59" fillId="16" borderId="117" xfId="0" applyFont="1" applyFill="1" applyBorder="1" applyAlignment="1">
      <alignment horizontal="center" vertical="center" wrapText="1"/>
    </xf>
    <xf numFmtId="0" fontId="57" fillId="2" borderId="68" xfId="0" applyFont="1" applyFill="1" applyBorder="1" applyAlignment="1">
      <alignment horizontal="left" vertical="center"/>
    </xf>
    <xf numFmtId="0" fontId="57" fillId="2" borderId="6" xfId="0" applyFont="1" applyFill="1" applyBorder="1" applyAlignment="1">
      <alignment horizontal="left" vertical="center"/>
    </xf>
    <xf numFmtId="0" fontId="58" fillId="16" borderId="26" xfId="0" applyFont="1" applyFill="1" applyBorder="1" applyAlignment="1">
      <alignment horizontal="center" vertical="center" wrapText="1"/>
    </xf>
    <xf numFmtId="0" fontId="50" fillId="16" borderId="1" xfId="0" applyFont="1" applyFill="1" applyBorder="1" applyAlignment="1">
      <alignment horizontal="center" vertical="center" wrapText="1"/>
    </xf>
    <xf numFmtId="0" fontId="58" fillId="16" borderId="89" xfId="0" applyFont="1" applyFill="1" applyBorder="1" applyAlignment="1">
      <alignment horizontal="center" vertical="center" wrapText="1"/>
    </xf>
    <xf numFmtId="0" fontId="50" fillId="16" borderId="105" xfId="0" applyFont="1" applyFill="1" applyBorder="1" applyAlignment="1">
      <alignment horizontal="center" vertical="center" wrapText="1"/>
    </xf>
    <xf numFmtId="0" fontId="58" fillId="16" borderId="61" xfId="0" applyFont="1" applyFill="1" applyBorder="1" applyAlignment="1">
      <alignment horizontal="center" vertical="center" wrapText="1"/>
    </xf>
    <xf numFmtId="0" fontId="50" fillId="16" borderId="57" xfId="0" applyFont="1" applyFill="1" applyBorder="1" applyAlignment="1">
      <alignment horizontal="center" vertical="center" wrapText="1"/>
    </xf>
    <xf numFmtId="0" fontId="50" fillId="16" borderId="26" xfId="0" applyFont="1" applyFill="1" applyBorder="1" applyAlignment="1">
      <alignment horizontal="center" vertical="center" wrapText="1"/>
    </xf>
    <xf numFmtId="0" fontId="58" fillId="16" borderId="27" xfId="0" applyFont="1" applyFill="1" applyBorder="1" applyAlignment="1">
      <alignment horizontal="center" vertical="center" wrapText="1"/>
    </xf>
    <xf numFmtId="0" fontId="50" fillId="16" borderId="0" xfId="0" applyFont="1" applyFill="1" applyAlignment="1">
      <alignment horizontal="center" vertical="center" wrapText="1"/>
    </xf>
    <xf numFmtId="0" fontId="50" fillId="16" borderId="2" xfId="0" applyFont="1" applyFill="1" applyBorder="1" applyAlignment="1">
      <alignment horizontal="center" vertical="center" wrapText="1"/>
    </xf>
    <xf numFmtId="0" fontId="58" fillId="16" borderId="93" xfId="0" applyFont="1" applyFill="1" applyBorder="1" applyAlignment="1">
      <alignment horizontal="center" vertical="center" wrapText="1"/>
    </xf>
    <xf numFmtId="0" fontId="58" fillId="16" borderId="38" xfId="0" applyFont="1" applyFill="1" applyBorder="1" applyAlignment="1">
      <alignment horizontal="center" vertical="center" wrapText="1"/>
    </xf>
    <xf numFmtId="0" fontId="59" fillId="16" borderId="68" xfId="0" applyFont="1" applyFill="1" applyBorder="1" applyAlignment="1">
      <alignment horizontal="center" vertical="center" wrapText="1"/>
    </xf>
    <xf numFmtId="0" fontId="59" fillId="16" borderId="7" xfId="0" applyFont="1" applyFill="1" applyBorder="1" applyAlignment="1">
      <alignment horizontal="center" vertical="center" wrapText="1"/>
    </xf>
    <xf numFmtId="0" fontId="59" fillId="16" borderId="69" xfId="0" applyFont="1" applyFill="1" applyBorder="1" applyAlignment="1">
      <alignment horizontal="center" vertical="center" wrapText="1"/>
    </xf>
    <xf numFmtId="0" fontId="50" fillId="0" borderId="0" xfId="0" applyFont="1" applyAlignment="1">
      <alignment horizontal="left"/>
    </xf>
    <xf numFmtId="0" fontId="53" fillId="0" borderId="0" xfId="14" applyFont="1" applyAlignment="1">
      <alignment horizontal="left" vertical="center" wrapText="1"/>
    </xf>
    <xf numFmtId="0" fontId="59" fillId="16" borderId="1" xfId="0" applyFont="1" applyFill="1" applyBorder="1" applyAlignment="1">
      <alignment horizontal="center" vertical="center" wrapText="1"/>
    </xf>
    <xf numFmtId="0" fontId="59" fillId="16" borderId="2" xfId="0" applyFont="1" applyFill="1" applyBorder="1" applyAlignment="1">
      <alignment horizontal="center" vertical="center" wrapText="1"/>
    </xf>
    <xf numFmtId="0" fontId="59" fillId="16" borderId="4" xfId="0" applyFont="1" applyFill="1" applyBorder="1" applyAlignment="1">
      <alignment horizontal="center" vertical="center" wrapText="1"/>
    </xf>
    <xf numFmtId="0" fontId="58" fillId="16" borderId="84" xfId="0" applyFont="1" applyFill="1" applyBorder="1" applyAlignment="1">
      <alignment horizontal="center" vertical="center" wrapText="1"/>
    </xf>
    <xf numFmtId="0" fontId="58" fillId="16" borderId="95" xfId="0" applyFont="1" applyFill="1" applyBorder="1" applyAlignment="1">
      <alignment horizontal="center" vertical="center" wrapText="1"/>
    </xf>
    <xf numFmtId="0" fontId="58" fillId="16" borderId="112" xfId="0" applyFont="1" applyFill="1" applyBorder="1" applyAlignment="1">
      <alignment horizontal="center" vertical="center" wrapText="1"/>
    </xf>
    <xf numFmtId="0" fontId="58" fillId="16" borderId="85" xfId="0" applyFont="1" applyFill="1" applyBorder="1" applyAlignment="1">
      <alignment horizontal="center" vertical="center" wrapText="1"/>
    </xf>
    <xf numFmtId="0" fontId="58" fillId="16" borderId="113" xfId="0" applyFont="1" applyFill="1" applyBorder="1" applyAlignment="1">
      <alignment horizontal="center" vertical="center" wrapText="1"/>
    </xf>
    <xf numFmtId="0" fontId="58" fillId="16" borderId="94" xfId="0" applyFont="1" applyFill="1" applyBorder="1" applyAlignment="1">
      <alignment horizontal="center" vertical="center" wrapText="1"/>
    </xf>
    <xf numFmtId="0" fontId="58" fillId="16" borderId="86" xfId="0" applyFont="1" applyFill="1" applyBorder="1" applyAlignment="1">
      <alignment horizontal="center" vertical="center" wrapText="1"/>
    </xf>
    <xf numFmtId="0" fontId="58" fillId="16" borderId="96" xfId="0" applyFont="1" applyFill="1" applyBorder="1" applyAlignment="1">
      <alignment horizontal="center" vertical="center" wrapText="1"/>
    </xf>
    <xf numFmtId="0" fontId="58" fillId="16" borderId="7" xfId="0" applyFont="1" applyFill="1" applyBorder="1" applyAlignment="1">
      <alignment horizontal="center" vertical="center" wrapText="1"/>
    </xf>
    <xf numFmtId="0" fontId="58" fillId="16" borderId="69" xfId="0" applyFont="1" applyFill="1" applyBorder="1" applyAlignment="1">
      <alignment horizontal="center" vertical="center" wrapText="1"/>
    </xf>
    <xf numFmtId="0" fontId="59" fillId="16" borderId="93" xfId="0" applyFont="1" applyFill="1" applyBorder="1" applyAlignment="1">
      <alignment horizontal="center" vertical="center" wrapText="1"/>
    </xf>
    <xf numFmtId="0" fontId="59" fillId="16" borderId="84" xfId="0" applyFont="1" applyFill="1" applyBorder="1" applyAlignment="1">
      <alignment horizontal="center" vertical="center" wrapText="1"/>
    </xf>
    <xf numFmtId="0" fontId="59" fillId="16" borderId="95" xfId="0" applyFont="1" applyFill="1" applyBorder="1" applyAlignment="1">
      <alignment horizontal="center" vertical="center" wrapText="1"/>
    </xf>
    <xf numFmtId="0" fontId="8" fillId="8" borderId="7" xfId="0" applyFont="1" applyFill="1" applyBorder="1" applyAlignment="1" applyProtection="1">
      <alignment horizontal="center" vertical="center" textRotation="180" wrapText="1"/>
      <protection locked="0"/>
    </xf>
    <xf numFmtId="0" fontId="8" fillId="8" borderId="69" xfId="0" applyFont="1" applyFill="1" applyBorder="1" applyAlignment="1" applyProtection="1">
      <alignment horizontal="center" vertical="center" textRotation="180" wrapText="1"/>
      <protection locked="0"/>
    </xf>
    <xf numFmtId="0" fontId="8" fillId="8" borderId="44" xfId="0" applyFont="1" applyFill="1" applyBorder="1" applyAlignment="1" applyProtection="1">
      <alignment horizontal="center" vertical="center" wrapText="1"/>
      <protection locked="0"/>
    </xf>
    <xf numFmtId="0" fontId="8" fillId="8" borderId="50" xfId="0" applyFont="1" applyFill="1" applyBorder="1" applyAlignment="1" applyProtection="1">
      <alignment horizontal="center" vertical="center" wrapText="1"/>
      <protection locked="0"/>
    </xf>
    <xf numFmtId="0" fontId="28" fillId="16" borderId="112" xfId="0" applyFont="1" applyFill="1" applyBorder="1" applyAlignment="1">
      <alignment horizontal="center" vertical="center" wrapText="1"/>
    </xf>
    <xf numFmtId="0" fontId="28" fillId="16" borderId="85" xfId="0" applyFont="1" applyFill="1" applyBorder="1" applyAlignment="1">
      <alignment horizontal="center" vertical="center" wrapText="1"/>
    </xf>
    <xf numFmtId="0" fontId="28" fillId="16" borderId="92" xfId="0" applyFont="1" applyFill="1" applyBorder="1" applyAlignment="1">
      <alignment horizontal="center" vertical="center" wrapText="1"/>
    </xf>
    <xf numFmtId="0" fontId="28" fillId="10" borderId="115" xfId="0" applyFont="1" applyFill="1" applyBorder="1" applyAlignment="1">
      <alignment horizontal="center" vertical="center" wrapText="1"/>
    </xf>
    <xf numFmtId="0" fontId="28" fillId="10" borderId="90" xfId="0" applyFont="1" applyFill="1" applyBorder="1" applyAlignment="1">
      <alignment horizontal="center" vertical="center" wrapText="1"/>
    </xf>
    <xf numFmtId="0" fontId="28" fillId="10" borderId="88" xfId="0" applyFont="1" applyFill="1" applyBorder="1" applyAlignment="1">
      <alignment horizontal="center" vertical="center" wrapText="1"/>
    </xf>
    <xf numFmtId="0" fontId="28" fillId="10" borderId="112" xfId="0" applyFont="1" applyFill="1" applyBorder="1" applyAlignment="1">
      <alignment horizontal="center" vertical="center" wrapText="1"/>
    </xf>
    <xf numFmtId="0" fontId="28" fillId="10" borderId="85" xfId="0" applyFont="1" applyFill="1" applyBorder="1" applyAlignment="1">
      <alignment horizontal="center" vertical="center" wrapText="1"/>
    </xf>
    <xf numFmtId="0" fontId="28" fillId="10" borderId="92" xfId="0" applyFont="1" applyFill="1" applyBorder="1" applyAlignment="1">
      <alignment horizontal="center" vertical="center" wrapText="1"/>
    </xf>
    <xf numFmtId="0" fontId="28" fillId="16" borderId="68" xfId="0" applyFont="1" applyFill="1" applyBorder="1" applyAlignment="1">
      <alignment horizontal="center" vertical="center" wrapText="1"/>
    </xf>
    <xf numFmtId="0" fontId="28" fillId="16" borderId="7" xfId="0" applyFont="1" applyFill="1" applyBorder="1" applyAlignment="1">
      <alignment horizontal="center" vertical="center" wrapText="1"/>
    </xf>
    <xf numFmtId="0" fontId="28" fillId="16" borderId="98" xfId="0" applyFont="1" applyFill="1" applyBorder="1" applyAlignment="1">
      <alignment horizontal="center" vertical="center" wrapText="1"/>
    </xf>
    <xf numFmtId="0" fontId="32" fillId="16" borderId="1" xfId="0" applyFont="1" applyFill="1" applyBorder="1" applyAlignment="1">
      <alignment horizontal="center" vertical="center" wrapText="1"/>
    </xf>
    <xf numFmtId="0" fontId="32" fillId="16" borderId="2" xfId="0" applyFont="1" applyFill="1" applyBorder="1" applyAlignment="1">
      <alignment horizontal="center" vertical="center" wrapText="1"/>
    </xf>
    <xf numFmtId="0" fontId="32" fillId="16" borderId="105" xfId="0" applyFont="1" applyFill="1" applyBorder="1" applyAlignment="1">
      <alignment horizontal="center" vertical="center" wrapText="1"/>
    </xf>
    <xf numFmtId="0" fontId="28" fillId="16" borderId="94" xfId="0" applyFont="1" applyFill="1" applyBorder="1" applyAlignment="1">
      <alignment horizontal="center" vertical="center" wrapText="1"/>
    </xf>
    <xf numFmtId="0" fontId="28" fillId="16" borderId="86" xfId="0" applyFont="1" applyFill="1" applyBorder="1" applyAlignment="1">
      <alignment horizontal="center" vertical="center" wrapText="1"/>
    </xf>
    <xf numFmtId="0" fontId="28" fillId="16" borderId="97" xfId="0" applyFont="1" applyFill="1" applyBorder="1" applyAlignment="1">
      <alignment horizontal="center" vertical="center" wrapText="1"/>
    </xf>
    <xf numFmtId="0" fontId="28" fillId="10" borderId="93" xfId="0" applyFont="1" applyFill="1" applyBorder="1" applyAlignment="1">
      <alignment horizontal="center" vertical="center" wrapText="1"/>
    </xf>
    <xf numFmtId="0" fontId="28" fillId="10" borderId="84" xfId="0" applyFont="1" applyFill="1" applyBorder="1" applyAlignment="1">
      <alignment horizontal="center" vertical="center" wrapText="1"/>
    </xf>
    <xf numFmtId="0" fontId="28" fillId="10" borderId="87" xfId="0" applyFont="1" applyFill="1" applyBorder="1" applyAlignment="1">
      <alignment horizontal="center" vertical="center" wrapText="1"/>
    </xf>
    <xf numFmtId="0" fontId="28" fillId="16" borderId="93" xfId="0" applyFont="1" applyFill="1" applyBorder="1" applyAlignment="1">
      <alignment horizontal="center" vertical="center" wrapText="1"/>
    </xf>
    <xf numFmtId="0" fontId="28" fillId="16" borderId="84" xfId="0" applyFont="1" applyFill="1" applyBorder="1" applyAlignment="1">
      <alignment horizontal="center" vertical="center" wrapText="1"/>
    </xf>
    <xf numFmtId="0" fontId="28" fillId="16" borderId="87" xfId="0" applyFont="1" applyFill="1" applyBorder="1" applyAlignment="1">
      <alignment horizontal="center" vertical="center" wrapText="1"/>
    </xf>
    <xf numFmtId="0" fontId="28" fillId="16" borderId="116" xfId="0" applyFont="1" applyFill="1" applyBorder="1" applyAlignment="1">
      <alignment horizontal="center" vertical="center" wrapText="1"/>
    </xf>
    <xf numFmtId="0" fontId="28" fillId="16" borderId="63" xfId="0" applyFont="1" applyFill="1" applyBorder="1" applyAlignment="1">
      <alignment horizontal="center" vertical="center" wrapText="1"/>
    </xf>
    <xf numFmtId="0" fontId="28" fillId="16" borderId="91" xfId="0" applyFont="1" applyFill="1" applyBorder="1" applyAlignment="1">
      <alignment horizontal="center" vertical="center" wrapText="1"/>
    </xf>
    <xf numFmtId="0" fontId="32" fillId="16" borderId="93" xfId="0" applyFont="1" applyFill="1" applyBorder="1" applyAlignment="1">
      <alignment horizontal="center" vertical="center" wrapText="1"/>
    </xf>
    <xf numFmtId="0" fontId="32" fillId="16" borderId="84" xfId="0" applyFont="1" applyFill="1" applyBorder="1" applyAlignment="1">
      <alignment horizontal="center" vertical="center" wrapText="1"/>
    </xf>
    <xf numFmtId="0" fontId="32" fillId="16" borderId="87" xfId="0" applyFont="1" applyFill="1" applyBorder="1" applyAlignment="1">
      <alignment horizontal="center" vertical="center" wrapText="1"/>
    </xf>
    <xf numFmtId="0" fontId="28" fillId="10" borderId="94" xfId="0" applyFont="1" applyFill="1" applyBorder="1" applyAlignment="1">
      <alignment horizontal="center" vertical="center" wrapText="1"/>
    </xf>
    <xf numFmtId="0" fontId="28" fillId="10" borderId="86" xfId="0" applyFont="1" applyFill="1" applyBorder="1" applyAlignment="1">
      <alignment horizontal="center" vertical="center" wrapText="1"/>
    </xf>
    <xf numFmtId="0" fontId="28" fillId="10" borderId="97" xfId="0" applyFont="1" applyFill="1" applyBorder="1" applyAlignment="1">
      <alignment horizontal="center" vertical="center" wrapText="1"/>
    </xf>
    <xf numFmtId="0" fontId="28" fillId="24" borderId="115" xfId="0" applyFont="1" applyFill="1" applyBorder="1" applyAlignment="1">
      <alignment horizontal="center" vertical="center" wrapText="1"/>
    </xf>
    <xf numFmtId="0" fontId="28" fillId="24" borderId="90" xfId="0" applyFont="1" applyFill="1" applyBorder="1" applyAlignment="1">
      <alignment horizontal="center" vertical="center" wrapText="1"/>
    </xf>
    <xf numFmtId="0" fontId="28" fillId="24" borderId="88" xfId="0" applyFont="1" applyFill="1" applyBorder="1" applyAlignment="1">
      <alignment horizontal="center" vertical="center" wrapText="1"/>
    </xf>
    <xf numFmtId="0" fontId="47" fillId="2" borderId="68" xfId="0" applyFont="1" applyFill="1" applyBorder="1" applyAlignment="1">
      <alignment horizontal="center" vertical="center" wrapText="1"/>
    </xf>
    <xf numFmtId="0" fontId="47" fillId="0" borderId="7" xfId="0" applyFont="1" applyBorder="1" applyAlignment="1">
      <alignment horizontal="center" vertical="center"/>
    </xf>
    <xf numFmtId="0" fontId="47" fillId="0" borderId="69" xfId="0" applyFont="1" applyBorder="1" applyAlignment="1">
      <alignment horizontal="center" vertical="center"/>
    </xf>
    <xf numFmtId="0" fontId="47" fillId="2" borderId="68" xfId="0" applyFont="1" applyFill="1" applyBorder="1" applyAlignment="1">
      <alignment horizontal="center" vertical="center"/>
    </xf>
    <xf numFmtId="0" fontId="47" fillId="2" borderId="6" xfId="0" applyFont="1" applyFill="1" applyBorder="1" applyAlignment="1">
      <alignment horizontal="center" vertical="center"/>
    </xf>
    <xf numFmtId="0" fontId="7" fillId="11" borderId="93" xfId="0" applyFont="1" applyFill="1" applyBorder="1" applyAlignment="1">
      <alignment horizontal="center" vertical="center" wrapText="1"/>
    </xf>
    <xf numFmtId="0" fontId="7" fillId="11" borderId="84" xfId="0" applyFont="1" applyFill="1" applyBorder="1" applyAlignment="1">
      <alignment horizontal="center" vertical="center" wrapText="1"/>
    </xf>
    <xf numFmtId="0" fontId="7" fillId="11" borderId="87" xfId="0" applyFont="1" applyFill="1" applyBorder="1" applyAlignment="1">
      <alignment horizontal="center" vertical="center" wrapText="1"/>
    </xf>
    <xf numFmtId="0" fontId="28" fillId="4" borderId="47" xfId="0" applyFont="1" applyFill="1" applyBorder="1" applyAlignment="1">
      <alignment horizontal="center" vertical="center" wrapText="1"/>
    </xf>
    <xf numFmtId="0" fontId="28" fillId="4" borderId="85" xfId="0" applyFont="1" applyFill="1" applyBorder="1" applyAlignment="1">
      <alignment horizontal="center" vertical="center" wrapText="1"/>
    </xf>
    <xf numFmtId="0" fontId="28" fillId="4" borderId="92" xfId="0" applyFont="1" applyFill="1" applyBorder="1" applyAlignment="1">
      <alignment horizontal="center" vertical="center" wrapText="1"/>
    </xf>
    <xf numFmtId="0" fontId="28" fillId="24" borderId="116" xfId="0" applyFont="1" applyFill="1" applyBorder="1" applyAlignment="1">
      <alignment horizontal="center" vertical="center" wrapText="1"/>
    </xf>
    <xf numFmtId="0" fontId="28" fillId="24" borderId="63" xfId="0" applyFont="1" applyFill="1" applyBorder="1" applyAlignment="1">
      <alignment horizontal="center" vertical="center" wrapText="1"/>
    </xf>
    <xf numFmtId="0" fontId="28" fillId="24" borderId="91" xfId="0" applyFont="1" applyFill="1" applyBorder="1" applyAlignment="1">
      <alignment horizontal="center" vertical="center" wrapText="1"/>
    </xf>
    <xf numFmtId="0" fontId="28" fillId="24" borderId="112" xfId="0" applyFont="1" applyFill="1" applyBorder="1" applyAlignment="1">
      <alignment horizontal="center" vertical="center" wrapText="1"/>
    </xf>
    <xf numFmtId="0" fontId="28" fillId="24" borderId="85" xfId="0" applyFont="1" applyFill="1" applyBorder="1" applyAlignment="1">
      <alignment horizontal="center" vertical="center" wrapText="1"/>
    </xf>
    <xf numFmtId="0" fontId="28" fillId="24" borderId="92" xfId="0" applyFont="1" applyFill="1" applyBorder="1" applyAlignment="1">
      <alignment horizontal="center" vertical="center" wrapText="1"/>
    </xf>
    <xf numFmtId="0" fontId="28" fillId="16" borderId="115" xfId="0" applyFont="1" applyFill="1" applyBorder="1" applyAlignment="1">
      <alignment horizontal="center" vertical="center" wrapText="1"/>
    </xf>
    <xf numFmtId="0" fontId="28" fillId="16" borderId="90" xfId="0" applyFont="1" applyFill="1" applyBorder="1" applyAlignment="1">
      <alignment horizontal="center" vertical="center" wrapText="1"/>
    </xf>
    <xf numFmtId="0" fontId="28" fillId="16" borderId="88" xfId="0" applyFont="1" applyFill="1" applyBorder="1" applyAlignment="1">
      <alignment horizontal="center" vertical="center" wrapText="1"/>
    </xf>
    <xf numFmtId="49" fontId="0" fillId="0" borderId="0" xfId="0" applyNumberFormat="1" applyAlignment="1">
      <alignment horizontal="center" vertical="center" wrapText="1" shrinkToFit="1"/>
    </xf>
    <xf numFmtId="0" fontId="28" fillId="16" borderId="118" xfId="0" applyFont="1" applyFill="1" applyBorder="1" applyAlignment="1">
      <alignment horizontal="center" vertical="center" wrapText="1"/>
    </xf>
    <xf numFmtId="0" fontId="28" fillId="16" borderId="96" xfId="0" applyFont="1" applyFill="1" applyBorder="1" applyAlignment="1">
      <alignment horizontal="center" vertical="center" wrapText="1"/>
    </xf>
    <xf numFmtId="0" fontId="0" fillId="0" borderId="0" xfId="0" applyAlignment="1">
      <alignment horizontal="left"/>
    </xf>
    <xf numFmtId="0" fontId="32" fillId="16" borderId="68" xfId="0" applyFont="1" applyFill="1" applyBorder="1" applyAlignment="1">
      <alignment horizontal="center" vertical="center" wrapText="1"/>
    </xf>
    <xf numFmtId="0" fontId="32" fillId="16" borderId="7" xfId="0" applyFont="1" applyFill="1" applyBorder="1" applyAlignment="1">
      <alignment horizontal="center" vertical="center" wrapText="1"/>
    </xf>
    <xf numFmtId="0" fontId="32" fillId="16" borderId="69" xfId="0" applyFont="1" applyFill="1" applyBorder="1" applyAlignment="1">
      <alignment horizontal="center" vertical="center" wrapText="1"/>
    </xf>
    <xf numFmtId="0" fontId="32" fillId="16" borderId="115" xfId="0" applyFont="1" applyFill="1" applyBorder="1" applyAlignment="1">
      <alignment horizontal="center" vertical="center" wrapText="1"/>
    </xf>
    <xf numFmtId="0" fontId="32" fillId="16" borderId="90" xfId="0" applyFont="1" applyFill="1" applyBorder="1" applyAlignment="1">
      <alignment horizontal="center" vertical="center" wrapText="1"/>
    </xf>
    <xf numFmtId="0" fontId="32" fillId="16" borderId="118" xfId="0" applyFont="1" applyFill="1" applyBorder="1" applyAlignment="1">
      <alignment horizontal="center" vertical="center" wrapText="1"/>
    </xf>
    <xf numFmtId="0" fontId="32" fillId="16" borderId="112" xfId="0" applyFont="1" applyFill="1" applyBorder="1" applyAlignment="1">
      <alignment horizontal="center" vertical="center" wrapText="1"/>
    </xf>
    <xf numFmtId="0" fontId="32" fillId="16" borderId="85" xfId="0" applyFont="1" applyFill="1" applyBorder="1" applyAlignment="1">
      <alignment horizontal="center" vertical="center" wrapText="1"/>
    </xf>
    <xf numFmtId="0" fontId="32" fillId="16" borderId="113" xfId="0" applyFont="1" applyFill="1" applyBorder="1" applyAlignment="1">
      <alignment horizontal="center" vertical="center" wrapText="1"/>
    </xf>
    <xf numFmtId="0" fontId="32" fillId="16" borderId="116" xfId="0" applyFont="1" applyFill="1" applyBorder="1" applyAlignment="1">
      <alignment horizontal="center" vertical="center" wrapText="1"/>
    </xf>
    <xf numFmtId="0" fontId="32" fillId="16" borderId="63" xfId="0" applyFont="1" applyFill="1" applyBorder="1" applyAlignment="1">
      <alignment horizontal="center" vertical="center" wrapText="1"/>
    </xf>
    <xf numFmtId="0" fontId="32" fillId="16" borderId="117" xfId="0" applyFont="1" applyFill="1" applyBorder="1" applyAlignment="1">
      <alignment horizontal="center" vertical="center" wrapText="1"/>
    </xf>
    <xf numFmtId="0" fontId="32" fillId="16" borderId="95" xfId="0" applyFont="1" applyFill="1" applyBorder="1" applyAlignment="1">
      <alignment horizontal="center" vertical="center" wrapText="1"/>
    </xf>
    <xf numFmtId="0" fontId="28" fillId="16" borderId="117" xfId="0" applyFont="1" applyFill="1" applyBorder="1" applyAlignment="1">
      <alignment horizontal="center" vertical="center" wrapText="1"/>
    </xf>
    <xf numFmtId="0" fontId="18" fillId="0" borderId="62" xfId="0" applyFont="1" applyBorder="1"/>
    <xf numFmtId="0" fontId="18" fillId="0" borderId="0" xfId="0" applyFont="1" applyAlignment="1">
      <alignment horizontal="left"/>
    </xf>
    <xf numFmtId="0" fontId="18" fillId="0" borderId="62" xfId="0" applyFont="1" applyBorder="1" applyAlignment="1">
      <alignment horizontal="left"/>
    </xf>
    <xf numFmtId="0" fontId="18" fillId="0" borderId="0" xfId="0" applyFont="1"/>
    <xf numFmtId="0" fontId="17" fillId="10" borderId="74" xfId="0" applyFont="1" applyFill="1" applyBorder="1" applyAlignment="1">
      <alignment horizontal="center"/>
    </xf>
    <xf numFmtId="0" fontId="21" fillId="0" borderId="25" xfId="0" applyFont="1" applyBorder="1" applyAlignment="1">
      <alignment horizontal="center"/>
    </xf>
    <xf numFmtId="0" fontId="21" fillId="0" borderId="1" xfId="0" applyFont="1" applyBorder="1" applyAlignment="1">
      <alignment horizontal="center"/>
    </xf>
    <xf numFmtId="0" fontId="21" fillId="0" borderId="28" xfId="0" applyFont="1" applyBorder="1" applyAlignment="1">
      <alignment horizontal="center"/>
    </xf>
    <xf numFmtId="0" fontId="21" fillId="0" borderId="4" xfId="0" applyFont="1" applyBorder="1" applyAlignment="1">
      <alignment horizontal="center"/>
    </xf>
    <xf numFmtId="0" fontId="80" fillId="0" borderId="25" xfId="0" applyFont="1" applyBorder="1" applyAlignment="1">
      <alignment horizontal="center" vertical="center"/>
    </xf>
    <xf numFmtId="0" fontId="80" fillId="0" borderId="26" xfId="0" applyFont="1" applyBorder="1" applyAlignment="1">
      <alignment horizontal="center" vertical="center"/>
    </xf>
    <xf numFmtId="0" fontId="80" fillId="0" borderId="1" xfId="0" applyFont="1" applyBorder="1" applyAlignment="1">
      <alignment horizontal="center" vertical="center"/>
    </xf>
    <xf numFmtId="0" fontId="80" fillId="0" borderId="28" xfId="0" applyFont="1" applyBorder="1" applyAlignment="1">
      <alignment horizontal="center" vertical="center"/>
    </xf>
    <xf numFmtId="0" fontId="80" fillId="0" borderId="3" xfId="0" applyFont="1" applyBorder="1" applyAlignment="1">
      <alignment horizontal="center" vertical="center"/>
    </xf>
    <xf numFmtId="0" fontId="80" fillId="0" borderId="4" xfId="0" applyFont="1" applyBorder="1" applyAlignment="1">
      <alignment horizontal="center" vertical="center"/>
    </xf>
    <xf numFmtId="0" fontId="76" fillId="10" borderId="22" xfId="0" applyFont="1" applyFill="1" applyBorder="1" applyAlignment="1">
      <alignment horizontal="center"/>
    </xf>
    <xf numFmtId="0" fontId="76" fillId="10" borderId="23" xfId="0" applyFont="1" applyFill="1" applyBorder="1" applyAlignment="1">
      <alignment horizontal="center"/>
    </xf>
    <xf numFmtId="0" fontId="76" fillId="10" borderId="24" xfId="0" applyFont="1" applyFill="1" applyBorder="1" applyAlignment="1">
      <alignment horizontal="center"/>
    </xf>
    <xf numFmtId="0" fontId="26" fillId="4" borderId="94" xfId="0" applyFont="1" applyFill="1" applyBorder="1" applyAlignment="1">
      <alignment horizontal="center" vertical="center" wrapText="1"/>
    </xf>
    <xf numFmtId="0" fontId="26" fillId="4" borderId="86" xfId="0" applyFont="1" applyFill="1" applyBorder="1" applyAlignment="1">
      <alignment horizontal="center" vertical="center" wrapText="1"/>
    </xf>
    <xf numFmtId="0" fontId="26" fillId="4" borderId="68" xfId="0" applyFont="1" applyFill="1" applyBorder="1" applyAlignment="1">
      <alignment horizontal="center" vertical="center" wrapText="1"/>
    </xf>
    <xf numFmtId="0" fontId="26" fillId="4" borderId="7" xfId="0" applyFont="1" applyFill="1" applyBorder="1" applyAlignment="1">
      <alignment horizontal="center" vertical="center" wrapText="1"/>
    </xf>
    <xf numFmtId="0" fontId="26" fillId="4" borderId="6" xfId="0" applyFont="1" applyFill="1" applyBorder="1" applyAlignment="1">
      <alignment horizontal="center" vertical="center" wrapText="1"/>
    </xf>
    <xf numFmtId="0" fontId="26" fillId="2" borderId="68" xfId="0" applyFont="1" applyFill="1" applyBorder="1" applyAlignment="1">
      <alignment horizontal="center" vertical="center" wrapText="1"/>
    </xf>
    <xf numFmtId="0" fontId="21" fillId="0" borderId="7" xfId="0" applyFont="1" applyBorder="1" applyAlignment="1">
      <alignment horizontal="center" vertical="center"/>
    </xf>
    <xf numFmtId="0" fontId="26" fillId="2" borderId="68" xfId="0" applyFont="1" applyFill="1" applyBorder="1" applyAlignment="1">
      <alignment horizontal="left" vertical="center"/>
    </xf>
    <xf numFmtId="0" fontId="26" fillId="2" borderId="6" xfId="0" applyFont="1" applyFill="1" applyBorder="1" applyAlignment="1">
      <alignment horizontal="left" vertical="center"/>
    </xf>
    <xf numFmtId="0" fontId="43" fillId="0" borderId="72" xfId="0" applyFont="1" applyBorder="1" applyAlignment="1">
      <alignment horizontal="center" vertical="top" wrapText="1"/>
    </xf>
    <xf numFmtId="0" fontId="43" fillId="0" borderId="51" xfId="0" applyFont="1" applyBorder="1" applyAlignment="1">
      <alignment horizontal="center" vertical="top" wrapText="1"/>
    </xf>
    <xf numFmtId="0" fontId="21" fillId="11" borderId="25" xfId="0" applyFont="1" applyFill="1" applyBorder="1" applyAlignment="1">
      <alignment horizontal="center" vertical="center" wrapText="1"/>
    </xf>
    <xf numFmtId="0" fontId="21" fillId="11" borderId="27" xfId="0" applyFont="1" applyFill="1" applyBorder="1" applyAlignment="1">
      <alignment horizontal="center" vertical="center" wrapText="1"/>
    </xf>
    <xf numFmtId="0" fontId="26" fillId="4" borderId="112" xfId="0" applyFont="1" applyFill="1" applyBorder="1" applyAlignment="1">
      <alignment horizontal="center" vertical="center" wrapText="1"/>
    </xf>
    <xf numFmtId="0" fontId="26" fillId="4" borderId="85" xfId="0" applyFont="1" applyFill="1" applyBorder="1" applyAlignment="1">
      <alignment horizontal="center" vertical="center" wrapText="1"/>
    </xf>
    <xf numFmtId="0" fontId="26" fillId="4" borderId="115" xfId="0" applyFont="1" applyFill="1" applyBorder="1" applyAlignment="1">
      <alignment horizontal="center" vertical="center" wrapText="1"/>
    </xf>
    <xf numFmtId="0" fontId="26" fillId="4" borderId="90" xfId="0" applyFont="1" applyFill="1" applyBorder="1" applyAlignment="1">
      <alignment horizontal="center" vertical="center" wrapText="1"/>
    </xf>
    <xf numFmtId="0" fontId="26" fillId="4" borderId="93" xfId="0" applyFont="1" applyFill="1" applyBorder="1" applyAlignment="1">
      <alignment horizontal="center" vertical="center" wrapText="1"/>
    </xf>
    <xf numFmtId="0" fontId="26" fillId="4" borderId="84" xfId="0" applyFont="1" applyFill="1" applyBorder="1" applyAlignment="1">
      <alignment horizontal="center" vertical="center" wrapText="1"/>
    </xf>
    <xf numFmtId="0" fontId="28" fillId="26" borderId="94" xfId="0" applyFont="1" applyFill="1" applyBorder="1" applyAlignment="1">
      <alignment horizontal="center" vertical="center" wrapText="1"/>
    </xf>
    <xf numFmtId="0" fontId="28" fillId="26" borderId="86" xfId="0" applyFont="1" applyFill="1" applyBorder="1" applyAlignment="1">
      <alignment horizontal="center" vertical="center" wrapText="1"/>
    </xf>
    <xf numFmtId="0" fontId="28" fillId="26" borderId="97" xfId="0" applyFont="1" applyFill="1" applyBorder="1" applyAlignment="1">
      <alignment horizontal="center" vertical="center" wrapText="1"/>
    </xf>
    <xf numFmtId="0" fontId="28" fillId="4" borderId="93" xfId="0" applyFont="1" applyFill="1" applyBorder="1" applyAlignment="1">
      <alignment horizontal="center" vertical="center" wrapText="1"/>
    </xf>
    <xf numFmtId="0" fontId="28" fillId="4" borderId="84" xfId="0" applyFont="1" applyFill="1" applyBorder="1" applyAlignment="1">
      <alignment horizontal="center" vertical="center" wrapText="1"/>
    </xf>
    <xf numFmtId="0" fontId="28" fillId="4" borderId="87" xfId="0" applyFont="1" applyFill="1" applyBorder="1" applyAlignment="1">
      <alignment horizontal="center" vertical="center" wrapText="1"/>
    </xf>
    <xf numFmtId="0" fontId="28" fillId="4" borderId="68" xfId="0" applyFont="1" applyFill="1" applyBorder="1" applyAlignment="1">
      <alignment horizontal="center" vertical="center" wrapText="1"/>
    </xf>
    <xf numFmtId="0" fontId="28" fillId="4" borderId="7" xfId="0" applyFont="1" applyFill="1" applyBorder="1" applyAlignment="1">
      <alignment horizontal="center" vertical="center" wrapText="1"/>
    </xf>
    <xf numFmtId="0" fontId="28" fillId="4" borderId="98" xfId="0" applyFont="1" applyFill="1" applyBorder="1" applyAlignment="1">
      <alignment horizontal="center" vertical="center" wrapText="1"/>
    </xf>
    <xf numFmtId="1" fontId="28" fillId="25" borderId="94" xfId="0" applyNumberFormat="1" applyFont="1" applyFill="1" applyBorder="1" applyAlignment="1">
      <alignment horizontal="center" vertical="center" wrapText="1"/>
    </xf>
    <xf numFmtId="1" fontId="28" fillId="25" borderId="86" xfId="0" applyNumberFormat="1" applyFont="1" applyFill="1" applyBorder="1" applyAlignment="1">
      <alignment horizontal="center" vertical="center" wrapText="1"/>
    </xf>
    <xf numFmtId="1" fontId="28" fillId="25" borderId="97" xfId="0" applyNumberFormat="1" applyFont="1" applyFill="1" applyBorder="1" applyAlignment="1">
      <alignment horizontal="center" vertical="center" wrapText="1"/>
    </xf>
    <xf numFmtId="0" fontId="35" fillId="12" borderId="68" xfId="0" applyFont="1" applyFill="1" applyBorder="1" applyAlignment="1" applyProtection="1">
      <alignment horizontal="center" textRotation="180" wrapText="1"/>
      <protection locked="0"/>
    </xf>
    <xf numFmtId="0" fontId="35" fillId="12" borderId="7" xfId="0" applyFont="1" applyFill="1" applyBorder="1" applyAlignment="1" applyProtection="1">
      <alignment horizontal="center" textRotation="180"/>
      <protection locked="0"/>
    </xf>
    <xf numFmtId="0" fontId="35" fillId="12" borderId="6" xfId="0" applyFont="1" applyFill="1" applyBorder="1" applyAlignment="1" applyProtection="1">
      <alignment horizontal="center" textRotation="180"/>
      <protection locked="0"/>
    </xf>
    <xf numFmtId="0" fontId="28" fillId="15" borderId="94" xfId="0" applyFont="1" applyFill="1" applyBorder="1" applyAlignment="1">
      <alignment horizontal="center" vertical="center" wrapText="1"/>
    </xf>
    <xf numFmtId="0" fontId="28" fillId="15" borderId="86" xfId="0" applyFont="1" applyFill="1" applyBorder="1" applyAlignment="1">
      <alignment horizontal="center" vertical="center" wrapText="1"/>
    </xf>
    <xf numFmtId="0" fontId="28" fillId="15" borderId="97" xfId="0" applyFont="1" applyFill="1" applyBorder="1" applyAlignment="1">
      <alignment horizontal="center" vertical="center" wrapText="1"/>
    </xf>
    <xf numFmtId="0" fontId="28" fillId="15" borderId="25" xfId="0" applyFont="1" applyFill="1" applyBorder="1" applyAlignment="1">
      <alignment horizontal="center" vertical="center" wrapText="1"/>
    </xf>
    <xf numFmtId="0" fontId="28" fillId="15" borderId="26" xfId="0" applyFont="1" applyFill="1" applyBorder="1" applyAlignment="1">
      <alignment horizontal="center" vertical="center" wrapText="1"/>
    </xf>
    <xf numFmtId="0" fontId="28" fillId="15" borderId="1" xfId="0" applyFont="1" applyFill="1" applyBorder="1" applyAlignment="1">
      <alignment horizontal="center" vertical="center" wrapText="1"/>
    </xf>
    <xf numFmtId="0" fontId="28" fillId="15" borderId="61" xfId="0" applyFont="1" applyFill="1" applyBorder="1" applyAlignment="1">
      <alignment horizontal="center" vertical="center" wrapText="1"/>
    </xf>
    <xf numFmtId="0" fontId="28" fillId="15" borderId="62" xfId="0" applyFont="1" applyFill="1" applyBorder="1" applyAlignment="1">
      <alignment horizontal="center" vertical="center" wrapText="1"/>
    </xf>
    <xf numFmtId="0" fontId="28" fillId="15" borderId="57" xfId="0" applyFont="1" applyFill="1" applyBorder="1" applyAlignment="1">
      <alignment horizontal="center" vertical="center" wrapText="1"/>
    </xf>
    <xf numFmtId="0" fontId="21" fillId="2" borderId="68" xfId="0" applyFont="1" applyFill="1" applyBorder="1" applyAlignment="1" applyProtection="1">
      <alignment horizontal="center" vertical="center" wrapText="1"/>
      <protection locked="0"/>
    </xf>
    <xf numFmtId="0" fontId="21" fillId="2" borderId="7" xfId="0" applyFont="1" applyFill="1" applyBorder="1" applyAlignment="1" applyProtection="1">
      <alignment horizontal="center" vertical="center" wrapText="1"/>
      <protection locked="0"/>
    </xf>
    <xf numFmtId="0" fontId="21" fillId="2" borderId="69" xfId="0" applyFont="1" applyFill="1" applyBorder="1" applyAlignment="1" applyProtection="1">
      <alignment horizontal="center" vertical="center" wrapText="1"/>
      <protection locked="0"/>
    </xf>
    <xf numFmtId="0" fontId="28" fillId="4" borderId="112" xfId="0" applyFont="1" applyFill="1" applyBorder="1" applyAlignment="1">
      <alignment horizontal="center" vertical="center" wrapText="1"/>
    </xf>
    <xf numFmtId="0" fontId="24" fillId="8" borderId="68" xfId="0" applyFont="1" applyFill="1" applyBorder="1" applyAlignment="1" applyProtection="1">
      <alignment horizontal="center" vertical="center" textRotation="180" wrapText="1"/>
      <protection locked="0"/>
    </xf>
    <xf numFmtId="0" fontId="24" fillId="8" borderId="7" xfId="0" applyFont="1" applyFill="1" applyBorder="1" applyAlignment="1" applyProtection="1">
      <alignment horizontal="center" vertical="center" textRotation="180" wrapText="1"/>
      <protection locked="0"/>
    </xf>
    <xf numFmtId="0" fontId="24" fillId="8" borderId="69" xfId="0" applyFont="1" applyFill="1" applyBorder="1" applyAlignment="1" applyProtection="1">
      <alignment horizontal="center" vertical="center" textRotation="180" wrapText="1"/>
      <protection locked="0"/>
    </xf>
    <xf numFmtId="168" fontId="28" fillId="26" borderId="112" xfId="12" applyNumberFormat="1" applyFont="1" applyFill="1" applyBorder="1" applyAlignment="1">
      <alignment horizontal="center" vertical="center" wrapText="1"/>
    </xf>
    <xf numFmtId="168" fontId="28" fillId="26" borderId="85" xfId="12" applyNumberFormat="1" applyFont="1" applyFill="1" applyBorder="1" applyAlignment="1">
      <alignment horizontal="center" vertical="center" wrapText="1"/>
    </xf>
    <xf numFmtId="168" fontId="28" fillId="26" borderId="92" xfId="12" applyNumberFormat="1" applyFont="1" applyFill="1" applyBorder="1" applyAlignment="1">
      <alignment horizontal="center" vertical="center" wrapText="1"/>
    </xf>
    <xf numFmtId="0" fontId="0" fillId="5" borderId="22" xfId="0" applyFill="1" applyBorder="1" applyAlignment="1" applyProtection="1">
      <alignment horizontal="center"/>
      <protection locked="0"/>
    </xf>
    <xf numFmtId="0" fontId="0" fillId="5" borderId="23" xfId="0" applyFill="1" applyBorder="1" applyAlignment="1" applyProtection="1">
      <alignment horizontal="center"/>
      <protection locked="0"/>
    </xf>
    <xf numFmtId="0" fontId="0" fillId="5" borderId="24" xfId="0" applyFill="1" applyBorder="1" applyAlignment="1" applyProtection="1">
      <alignment horizontal="center"/>
      <protection locked="0"/>
    </xf>
    <xf numFmtId="0" fontId="24" fillId="2" borderId="68" xfId="0" applyFont="1" applyFill="1" applyBorder="1" applyAlignment="1" applyProtection="1">
      <alignment horizontal="center" vertical="center" textRotation="180" wrapText="1"/>
      <protection locked="0"/>
    </xf>
    <xf numFmtId="0" fontId="24" fillId="2" borderId="7" xfId="0" applyFont="1" applyFill="1" applyBorder="1" applyAlignment="1" applyProtection="1">
      <alignment horizontal="center" vertical="center" textRotation="180" wrapText="1"/>
      <protection locked="0"/>
    </xf>
    <xf numFmtId="0" fontId="24" fillId="2" borderId="69" xfId="0" applyFont="1" applyFill="1" applyBorder="1" applyAlignment="1" applyProtection="1">
      <alignment horizontal="center" vertical="center" textRotation="180" wrapText="1"/>
      <protection locked="0"/>
    </xf>
    <xf numFmtId="0" fontId="8" fillId="2" borderId="68" xfId="0" applyFont="1" applyFill="1" applyBorder="1" applyAlignment="1" applyProtection="1">
      <alignment horizontal="center" vertical="center" wrapText="1"/>
      <protection locked="0"/>
    </xf>
    <xf numFmtId="0" fontId="8" fillId="2" borderId="7" xfId="0" applyFont="1" applyFill="1" applyBorder="1" applyAlignment="1" applyProtection="1">
      <alignment horizontal="center" vertical="center" wrapText="1"/>
      <protection locked="0"/>
    </xf>
    <xf numFmtId="0" fontId="8" fillId="2" borderId="69" xfId="0" applyFont="1" applyFill="1" applyBorder="1" applyAlignment="1" applyProtection="1">
      <alignment horizontal="center" vertical="center" wrapText="1"/>
      <protection locked="0"/>
    </xf>
    <xf numFmtId="0" fontId="24" fillId="12" borderId="68" xfId="0" applyFont="1" applyFill="1" applyBorder="1" applyAlignment="1" applyProtection="1">
      <alignment horizontal="center" vertical="center" textRotation="180" wrapText="1"/>
      <protection locked="0"/>
    </xf>
    <xf numFmtId="0" fontId="24" fillId="12" borderId="7" xfId="0" applyFont="1" applyFill="1" applyBorder="1" applyAlignment="1" applyProtection="1">
      <alignment horizontal="center" vertical="center" textRotation="180" wrapText="1"/>
      <protection locked="0"/>
    </xf>
    <xf numFmtId="0" fontId="24" fillId="12" borderId="69" xfId="0" applyFont="1" applyFill="1" applyBorder="1" applyAlignment="1" applyProtection="1">
      <alignment horizontal="center" vertical="center" textRotation="180" wrapText="1"/>
      <protection locked="0"/>
    </xf>
    <xf numFmtId="0" fontId="17" fillId="0" borderId="12" xfId="0" applyFont="1" applyBorder="1" applyAlignment="1" applyProtection="1">
      <alignment horizontal="center"/>
      <protection locked="0"/>
    </xf>
    <xf numFmtId="0" fontId="0" fillId="0" borderId="13" xfId="0" applyBorder="1" applyAlignment="1" applyProtection="1">
      <alignment horizontal="center"/>
      <protection locked="0"/>
    </xf>
    <xf numFmtId="0" fontId="0" fillId="0" borderId="14"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5" xfId="0" applyBorder="1" applyAlignment="1" applyProtection="1">
      <alignment horizontal="center"/>
      <protection locked="0"/>
    </xf>
    <xf numFmtId="0" fontId="0" fillId="0" borderId="18" xfId="0" applyBorder="1" applyAlignment="1" applyProtection="1">
      <alignment horizontal="center"/>
      <protection locked="0"/>
    </xf>
    <xf numFmtId="0" fontId="35" fillId="12" borderId="68" xfId="0" applyFont="1" applyFill="1" applyBorder="1" applyAlignment="1" applyProtection="1">
      <alignment horizontal="center" textRotation="180"/>
      <protection locked="0"/>
    </xf>
    <xf numFmtId="0" fontId="35" fillId="12" borderId="69" xfId="0" applyFont="1" applyFill="1" applyBorder="1" applyAlignment="1" applyProtection="1">
      <alignment horizontal="center" textRotation="180"/>
      <protection locked="0"/>
    </xf>
    <xf numFmtId="0" fontId="36" fillId="2" borderId="68" xfId="0" applyFont="1" applyFill="1" applyBorder="1" applyAlignment="1" applyProtection="1">
      <alignment horizontal="center" vertical="center" textRotation="180" wrapText="1"/>
      <protection locked="0"/>
    </xf>
    <xf numFmtId="0" fontId="36" fillId="2" borderId="7" xfId="0" applyFont="1" applyFill="1" applyBorder="1" applyAlignment="1" applyProtection="1">
      <alignment horizontal="center" vertical="center" textRotation="180" wrapText="1"/>
      <protection locked="0"/>
    </xf>
    <xf numFmtId="0" fontId="36" fillId="2" borderId="69" xfId="0" applyFont="1" applyFill="1" applyBorder="1" applyAlignment="1" applyProtection="1">
      <alignment horizontal="center" vertical="center" textRotation="180" wrapText="1"/>
      <protection locked="0"/>
    </xf>
    <xf numFmtId="0" fontId="8" fillId="2" borderId="68" xfId="0" applyFont="1" applyFill="1" applyBorder="1" applyAlignment="1" applyProtection="1">
      <alignment horizontal="center" vertical="center" textRotation="180" wrapText="1"/>
      <protection locked="0"/>
    </xf>
    <xf numFmtId="0" fontId="8" fillId="2" borderId="7" xfId="0" applyFont="1" applyFill="1" applyBorder="1" applyAlignment="1" applyProtection="1">
      <alignment horizontal="center" vertical="center" textRotation="180" wrapText="1"/>
      <protection locked="0"/>
    </xf>
    <xf numFmtId="0" fontId="8" fillId="2" borderId="69" xfId="0" applyFont="1" applyFill="1" applyBorder="1" applyAlignment="1" applyProtection="1">
      <alignment horizontal="center" vertical="center" textRotation="180" wrapText="1"/>
      <protection locked="0"/>
    </xf>
    <xf numFmtId="0" fontId="21" fillId="2" borderId="68" xfId="0" applyFont="1" applyFill="1" applyBorder="1" applyAlignment="1" applyProtection="1">
      <alignment horizontal="center" vertical="center" textRotation="180" wrapText="1"/>
      <protection locked="0"/>
    </xf>
    <xf numFmtId="0" fontId="21" fillId="2" borderId="7" xfId="0" applyFont="1" applyFill="1" applyBorder="1" applyAlignment="1" applyProtection="1">
      <alignment horizontal="center" vertical="center" textRotation="180" wrapText="1"/>
      <protection locked="0"/>
    </xf>
    <xf numFmtId="0" fontId="21" fillId="2" borderId="69" xfId="0" applyFont="1" applyFill="1" applyBorder="1" applyAlignment="1" applyProtection="1">
      <alignment horizontal="center" vertical="center" textRotation="180" wrapText="1"/>
      <protection locked="0"/>
    </xf>
    <xf numFmtId="0" fontId="37" fillId="2" borderId="68" xfId="0" applyFont="1" applyFill="1" applyBorder="1" applyAlignment="1" applyProtection="1">
      <alignment horizontal="center" vertical="center" textRotation="180" wrapText="1"/>
      <protection locked="0"/>
    </xf>
    <xf numFmtId="0" fontId="24" fillId="5" borderId="68" xfId="0" applyFont="1" applyFill="1" applyBorder="1" applyAlignment="1" applyProtection="1">
      <alignment horizontal="center" vertical="center" wrapText="1"/>
      <protection locked="0"/>
    </xf>
    <xf numFmtId="0" fontId="24" fillId="5" borderId="7" xfId="0" applyFont="1" applyFill="1" applyBorder="1" applyAlignment="1" applyProtection="1">
      <alignment horizontal="center" vertical="center" wrapText="1"/>
      <protection locked="0"/>
    </xf>
    <xf numFmtId="0" fontId="24" fillId="5" borderId="69" xfId="0" applyFont="1" applyFill="1" applyBorder="1" applyAlignment="1" applyProtection="1">
      <alignment horizontal="center" vertical="center" wrapText="1"/>
      <protection locked="0"/>
    </xf>
    <xf numFmtId="0" fontId="30" fillId="2" borderId="68" xfId="0" applyFont="1" applyFill="1" applyBorder="1" applyAlignment="1">
      <alignment horizontal="left" vertical="center"/>
    </xf>
    <xf numFmtId="0" fontId="30" fillId="2" borderId="6" xfId="0" applyFont="1" applyFill="1" applyBorder="1" applyAlignment="1">
      <alignment horizontal="left" vertical="center"/>
    </xf>
    <xf numFmtId="0" fontId="7" fillId="2" borderId="68" xfId="0" applyFont="1" applyFill="1" applyBorder="1" applyAlignment="1" applyProtection="1">
      <alignment horizontal="center" vertical="center" textRotation="90" wrapText="1"/>
      <protection locked="0"/>
    </xf>
    <xf numFmtId="0" fontId="7" fillId="2" borderId="7" xfId="0" applyFont="1" applyFill="1" applyBorder="1" applyAlignment="1" applyProtection="1">
      <alignment horizontal="center" vertical="center" textRotation="90" wrapText="1"/>
      <protection locked="0"/>
    </xf>
    <xf numFmtId="0" fontId="7" fillId="2" borderId="69" xfId="0" applyFont="1" applyFill="1" applyBorder="1" applyAlignment="1" applyProtection="1">
      <alignment horizontal="center" vertical="center" textRotation="90" wrapText="1"/>
      <protection locked="0"/>
    </xf>
    <xf numFmtId="0" fontId="20" fillId="2" borderId="68" xfId="0" applyFont="1" applyFill="1" applyBorder="1" applyAlignment="1" applyProtection="1">
      <alignment horizontal="left" vertical="center" textRotation="90"/>
      <protection locked="0"/>
    </xf>
    <xf numFmtId="0" fontId="20" fillId="2" borderId="7" xfId="0" applyFont="1" applyFill="1" applyBorder="1" applyAlignment="1" applyProtection="1">
      <alignment horizontal="left" vertical="center" textRotation="90"/>
      <protection locked="0"/>
    </xf>
    <xf numFmtId="0" fontId="20" fillId="2" borderId="69" xfId="0" applyFont="1" applyFill="1" applyBorder="1" applyAlignment="1" applyProtection="1">
      <alignment horizontal="left" vertical="center" textRotation="90"/>
      <protection locked="0"/>
    </xf>
    <xf numFmtId="0" fontId="8" fillId="2" borderId="12"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wrapText="1"/>
      <protection locked="0"/>
    </xf>
    <xf numFmtId="0" fontId="8" fillId="2" borderId="14" xfId="0" applyFont="1" applyFill="1" applyBorder="1" applyAlignment="1" applyProtection="1">
      <alignment horizontal="center" vertical="center" wrapText="1"/>
      <protection locked="0"/>
    </xf>
    <xf numFmtId="0" fontId="14" fillId="2" borderId="25" xfId="0" applyFont="1" applyFill="1" applyBorder="1" applyAlignment="1" applyProtection="1">
      <alignment horizontal="center" vertical="center" wrapText="1"/>
      <protection locked="0"/>
    </xf>
    <xf numFmtId="0" fontId="14" fillId="2" borderId="26" xfId="0" applyFont="1" applyFill="1" applyBorder="1" applyAlignment="1" applyProtection="1">
      <alignment horizontal="center" vertical="center" wrapText="1"/>
      <protection locked="0"/>
    </xf>
    <xf numFmtId="0" fontId="14" fillId="2" borderId="1" xfId="0" applyFont="1" applyFill="1" applyBorder="1" applyAlignment="1" applyProtection="1">
      <alignment horizontal="center" vertical="center" wrapText="1"/>
      <protection locked="0"/>
    </xf>
    <xf numFmtId="0" fontId="14" fillId="2" borderId="61" xfId="0" applyFont="1" applyFill="1" applyBorder="1" applyAlignment="1" applyProtection="1">
      <alignment horizontal="center" vertical="center" wrapText="1"/>
      <protection locked="0"/>
    </xf>
    <xf numFmtId="0" fontId="14" fillId="2" borderId="62" xfId="0" applyFont="1" applyFill="1" applyBorder="1" applyAlignment="1" applyProtection="1">
      <alignment horizontal="center" vertical="center" wrapText="1"/>
      <protection locked="0"/>
    </xf>
    <xf numFmtId="0" fontId="14" fillId="2" borderId="57" xfId="0" applyFont="1" applyFill="1" applyBorder="1" applyAlignment="1" applyProtection="1">
      <alignment horizontal="center" vertical="center" wrapText="1"/>
      <protection locked="0"/>
    </xf>
    <xf numFmtId="0" fontId="17" fillId="0" borderId="22" xfId="0" applyFont="1" applyBorder="1" applyAlignment="1" applyProtection="1">
      <alignment horizontal="center"/>
      <protection locked="0"/>
    </xf>
    <xf numFmtId="0" fontId="17" fillId="0" borderId="23" xfId="0" applyFont="1" applyBorder="1" applyAlignment="1" applyProtection="1">
      <alignment horizontal="center"/>
      <protection locked="0"/>
    </xf>
    <xf numFmtId="0" fontId="8" fillId="2" borderId="44" xfId="0" applyFont="1" applyFill="1" applyBorder="1" applyAlignment="1" applyProtection="1">
      <alignment horizontal="center" vertical="center" wrapText="1"/>
      <protection locked="0"/>
    </xf>
    <xf numFmtId="0" fontId="8" fillId="2" borderId="65" xfId="0" applyFont="1" applyFill="1" applyBorder="1" applyAlignment="1" applyProtection="1">
      <alignment horizontal="center" vertical="center" wrapText="1"/>
      <protection locked="0"/>
    </xf>
    <xf numFmtId="0" fontId="8" fillId="2" borderId="50" xfId="0" applyFont="1" applyFill="1" applyBorder="1" applyAlignment="1" applyProtection="1">
      <alignment horizontal="center" vertical="center" wrapText="1"/>
      <protection locked="0"/>
    </xf>
    <xf numFmtId="0" fontId="8" fillId="2" borderId="26"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8" fillId="2" borderId="93" xfId="0" applyFont="1" applyFill="1" applyBorder="1" applyAlignment="1" applyProtection="1">
      <alignment horizontal="center" vertical="center" wrapText="1"/>
      <protection locked="0"/>
    </xf>
    <xf numFmtId="0" fontId="8" fillId="2" borderId="112" xfId="0" applyFont="1" applyFill="1" applyBorder="1" applyAlignment="1" applyProtection="1">
      <alignment horizontal="center" vertical="center" wrapText="1"/>
      <protection locked="0"/>
    </xf>
    <xf numFmtId="0" fontId="8" fillId="2" borderId="94" xfId="0" applyFont="1" applyFill="1" applyBorder="1" applyAlignment="1" applyProtection="1">
      <alignment horizontal="center" vertical="center" wrapText="1"/>
      <protection locked="0"/>
    </xf>
    <xf numFmtId="0" fontId="8" fillId="2" borderId="15"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115" xfId="0" applyFont="1" applyFill="1" applyBorder="1" applyAlignment="1" applyProtection="1">
      <alignment horizontal="center" vertical="center" wrapText="1"/>
      <protection locked="0"/>
    </xf>
    <xf numFmtId="0" fontId="24" fillId="12" borderId="68" xfId="0" applyFont="1" applyFill="1" applyBorder="1" applyAlignment="1" applyProtection="1">
      <alignment horizontal="center" vertical="center" wrapText="1"/>
      <protection locked="0"/>
    </xf>
    <xf numFmtId="0" fontId="24" fillId="12" borderId="7" xfId="0" applyFont="1" applyFill="1" applyBorder="1" applyAlignment="1" applyProtection="1">
      <alignment horizontal="center" vertical="center" wrapText="1"/>
      <protection locked="0"/>
    </xf>
    <xf numFmtId="0" fontId="24" fillId="12" borderId="69" xfId="0" applyFont="1" applyFill="1" applyBorder="1" applyAlignment="1" applyProtection="1">
      <alignment horizontal="center" vertical="center" wrapText="1"/>
      <protection locked="0"/>
    </xf>
    <xf numFmtId="0" fontId="8" fillId="5" borderId="68" xfId="0" applyFont="1" applyFill="1" applyBorder="1" applyAlignment="1" applyProtection="1">
      <alignment horizontal="center" vertical="center" textRotation="180" wrapText="1"/>
      <protection locked="0"/>
    </xf>
    <xf numFmtId="0" fontId="8" fillId="5" borderId="7" xfId="0" applyFont="1" applyFill="1" applyBorder="1" applyAlignment="1" applyProtection="1">
      <alignment horizontal="center" vertical="center" textRotation="180" wrapText="1"/>
      <protection locked="0"/>
    </xf>
    <xf numFmtId="0" fontId="8" fillId="5" borderId="69" xfId="0" applyFont="1" applyFill="1" applyBorder="1" applyAlignment="1" applyProtection="1">
      <alignment horizontal="center" vertical="center" textRotation="180" wrapText="1"/>
      <protection locked="0"/>
    </xf>
    <xf numFmtId="0" fontId="35" fillId="0" borderId="68" xfId="0" applyFont="1" applyBorder="1" applyAlignment="1" applyProtection="1">
      <alignment horizontal="center" textRotation="180"/>
      <protection locked="0"/>
    </xf>
    <xf numFmtId="0" fontId="35" fillId="0" borderId="7" xfId="0" applyFont="1" applyBorder="1" applyAlignment="1" applyProtection="1">
      <alignment horizontal="center" textRotation="180"/>
      <protection locked="0"/>
    </xf>
    <xf numFmtId="0" fontId="35" fillId="0" borderId="6" xfId="0" applyFont="1" applyBorder="1" applyAlignment="1" applyProtection="1">
      <alignment horizontal="center" textRotation="180"/>
      <protection locked="0"/>
    </xf>
    <xf numFmtId="0" fontId="17" fillId="0" borderId="13" xfId="0" applyFont="1" applyBorder="1" applyAlignment="1" applyProtection="1">
      <alignment horizontal="center"/>
      <protection locked="0"/>
    </xf>
    <xf numFmtId="0" fontId="17" fillId="0" borderId="14" xfId="0" applyFont="1" applyBorder="1" applyAlignment="1" applyProtection="1">
      <alignment horizontal="center"/>
      <protection locked="0"/>
    </xf>
    <xf numFmtId="0" fontId="17" fillId="0" borderId="16" xfId="0" applyFont="1" applyBorder="1" applyAlignment="1" applyProtection="1">
      <alignment horizontal="center"/>
      <protection locked="0"/>
    </xf>
    <xf numFmtId="0" fontId="17" fillId="0" borderId="5" xfId="0" applyFont="1" applyBorder="1" applyAlignment="1" applyProtection="1">
      <alignment horizontal="center"/>
      <protection locked="0"/>
    </xf>
    <xf numFmtId="0" fontId="17" fillId="0" borderId="18" xfId="0" applyFont="1" applyBorder="1" applyAlignment="1" applyProtection="1">
      <alignment horizontal="center"/>
      <protection locked="0"/>
    </xf>
    <xf numFmtId="0" fontId="84" fillId="30" borderId="68" xfId="0" applyFont="1" applyFill="1" applyBorder="1" applyAlignment="1">
      <alignment horizontal="center" vertical="center" wrapText="1"/>
    </xf>
    <xf numFmtId="0" fontId="84" fillId="30" borderId="7" xfId="0" applyFont="1" applyFill="1" applyBorder="1" applyAlignment="1">
      <alignment horizontal="center" vertical="center" wrapText="1"/>
    </xf>
    <xf numFmtId="0" fontId="84" fillId="30" borderId="98" xfId="0" applyFont="1" applyFill="1" applyBorder="1" applyAlignment="1">
      <alignment horizontal="center" vertical="center" wrapText="1"/>
    </xf>
    <xf numFmtId="0" fontId="84" fillId="29" borderId="94" xfId="0" applyFont="1" applyFill="1" applyBorder="1" applyAlignment="1">
      <alignment horizontal="center" vertical="center" wrapText="1"/>
    </xf>
    <xf numFmtId="0" fontId="84" fillId="29" borderId="86" xfId="0" applyFont="1" applyFill="1" applyBorder="1" applyAlignment="1">
      <alignment horizontal="center" vertical="center" wrapText="1"/>
    </xf>
    <xf numFmtId="0" fontId="84" fillId="29" borderId="97" xfId="0" applyFont="1" applyFill="1" applyBorder="1" applyAlignment="1">
      <alignment horizontal="center" vertical="center" wrapText="1"/>
    </xf>
    <xf numFmtId="0" fontId="24" fillId="2" borderId="68" xfId="0" applyFont="1" applyFill="1" applyBorder="1" applyAlignment="1" applyProtection="1">
      <alignment horizontal="center" vertical="center" textRotation="140" wrapText="1"/>
      <protection locked="0"/>
    </xf>
    <xf numFmtId="0" fontId="24" fillId="2" borderId="7" xfId="0" applyFont="1" applyFill="1" applyBorder="1" applyAlignment="1" applyProtection="1">
      <alignment horizontal="center" vertical="center" textRotation="140" wrapText="1"/>
      <protection locked="0"/>
    </xf>
    <xf numFmtId="0" fontId="24" fillId="2" borderId="69" xfId="0" applyFont="1" applyFill="1" applyBorder="1" applyAlignment="1" applyProtection="1">
      <alignment horizontal="center" vertical="center" textRotation="140" wrapText="1"/>
      <protection locked="0"/>
    </xf>
    <xf numFmtId="0" fontId="28" fillId="28" borderId="94" xfId="0" applyFont="1" applyFill="1" applyBorder="1" applyAlignment="1">
      <alignment horizontal="center" vertical="center" wrapText="1"/>
    </xf>
    <xf numFmtId="0" fontId="28" fillId="28" borderId="86" xfId="0" applyFont="1" applyFill="1" applyBorder="1" applyAlignment="1">
      <alignment horizontal="center" vertical="center" wrapText="1"/>
    </xf>
    <xf numFmtId="0" fontId="28" fillId="28" borderId="97" xfId="0" applyFont="1" applyFill="1" applyBorder="1" applyAlignment="1">
      <alignment horizontal="center" vertical="center" wrapText="1"/>
    </xf>
    <xf numFmtId="2" fontId="24" fillId="2" borderId="68" xfId="0" applyNumberFormat="1" applyFont="1" applyFill="1" applyBorder="1" applyAlignment="1" applyProtection="1">
      <alignment horizontal="center" vertical="center" textRotation="180" wrapText="1"/>
      <protection locked="0"/>
    </xf>
    <xf numFmtId="2" fontId="24" fillId="2" borderId="7" xfId="0" applyNumberFormat="1" applyFont="1" applyFill="1" applyBorder="1" applyAlignment="1" applyProtection="1">
      <alignment horizontal="center" vertical="center" textRotation="180" wrapText="1"/>
      <protection locked="0"/>
    </xf>
    <xf numFmtId="2" fontId="24" fillId="2" borderId="69" xfId="0" applyNumberFormat="1" applyFont="1" applyFill="1" applyBorder="1" applyAlignment="1" applyProtection="1">
      <alignment horizontal="center" vertical="center" textRotation="180" wrapText="1"/>
      <protection locked="0"/>
    </xf>
    <xf numFmtId="0" fontId="40" fillId="2" borderId="68" xfId="0" applyFont="1" applyFill="1" applyBorder="1" applyAlignment="1" applyProtection="1">
      <alignment horizontal="center" vertical="center" textRotation="150" wrapText="1"/>
      <protection locked="0"/>
    </xf>
    <xf numFmtId="0" fontId="40" fillId="2" borderId="7" xfId="0" applyFont="1" applyFill="1" applyBorder="1" applyAlignment="1" applyProtection="1">
      <alignment horizontal="center" vertical="center" textRotation="150" wrapText="1"/>
      <protection locked="0"/>
    </xf>
    <xf numFmtId="0" fontId="40" fillId="2" borderId="69" xfId="0" applyFont="1" applyFill="1" applyBorder="1" applyAlignment="1" applyProtection="1">
      <alignment horizontal="center" vertical="center" textRotation="150" wrapText="1"/>
      <protection locked="0"/>
    </xf>
    <xf numFmtId="0" fontId="28" fillId="15" borderId="68" xfId="0" applyFont="1" applyFill="1" applyBorder="1" applyAlignment="1">
      <alignment horizontal="center" vertical="center" wrapText="1"/>
    </xf>
    <xf numFmtId="0" fontId="28" fillId="15" borderId="7" xfId="0" applyFont="1" applyFill="1" applyBorder="1" applyAlignment="1">
      <alignment horizontal="center" vertical="center" wrapText="1"/>
    </xf>
    <xf numFmtId="0" fontId="28" fillId="15" borderId="98" xfId="0" applyFont="1" applyFill="1" applyBorder="1" applyAlignment="1">
      <alignment horizontal="center" vertical="center" wrapText="1"/>
    </xf>
    <xf numFmtId="0" fontId="26" fillId="17" borderId="112" xfId="0" applyFont="1" applyFill="1" applyBorder="1" applyAlignment="1">
      <alignment horizontal="center" vertical="center" wrapText="1"/>
    </xf>
    <xf numFmtId="0" fontId="26" fillId="17" borderId="85" xfId="0" applyFont="1" applyFill="1" applyBorder="1" applyAlignment="1">
      <alignment horizontal="center" vertical="center" wrapText="1"/>
    </xf>
    <xf numFmtId="0" fontId="26" fillId="17" borderId="92" xfId="0" applyFont="1" applyFill="1" applyBorder="1" applyAlignment="1">
      <alignment horizontal="center" vertical="center" wrapText="1"/>
    </xf>
    <xf numFmtId="0" fontId="26" fillId="16" borderId="112" xfId="0" applyFont="1" applyFill="1" applyBorder="1" applyAlignment="1">
      <alignment horizontal="center" vertical="center" wrapText="1"/>
    </xf>
    <xf numFmtId="0" fontId="26" fillId="16" borderId="85" xfId="0" applyFont="1" applyFill="1" applyBorder="1" applyAlignment="1">
      <alignment horizontal="center" vertical="center" wrapText="1"/>
    </xf>
    <xf numFmtId="0" fontId="26" fillId="16" borderId="92" xfId="0" applyFont="1" applyFill="1" applyBorder="1" applyAlignment="1">
      <alignment horizontal="center" vertical="center" wrapText="1"/>
    </xf>
    <xf numFmtId="1" fontId="26" fillId="16" borderId="94" xfId="0" applyNumberFormat="1" applyFont="1" applyFill="1" applyBorder="1" applyAlignment="1">
      <alignment horizontal="center" vertical="center" wrapText="1"/>
    </xf>
    <xf numFmtId="1" fontId="26" fillId="16" borderId="86" xfId="0" applyNumberFormat="1" applyFont="1" applyFill="1" applyBorder="1" applyAlignment="1">
      <alignment horizontal="center" vertical="center" wrapText="1"/>
    </xf>
    <xf numFmtId="1" fontId="26" fillId="16" borderId="97" xfId="0" applyNumberFormat="1" applyFont="1" applyFill="1" applyBorder="1" applyAlignment="1">
      <alignment horizontal="center" vertical="center" wrapText="1"/>
    </xf>
    <xf numFmtId="0" fontId="26" fillId="16" borderId="116" xfId="0" applyFont="1" applyFill="1" applyBorder="1" applyAlignment="1">
      <alignment horizontal="center" vertical="center" wrapText="1"/>
    </xf>
    <xf numFmtId="0" fontId="26" fillId="16" borderId="63" xfId="0" applyFont="1" applyFill="1" applyBorder="1" applyAlignment="1">
      <alignment horizontal="center" vertical="center" wrapText="1"/>
    </xf>
    <xf numFmtId="0" fontId="26" fillId="16" borderId="91" xfId="0" applyFont="1" applyFill="1" applyBorder="1" applyAlignment="1">
      <alignment horizontal="center" vertical="center" wrapText="1"/>
    </xf>
    <xf numFmtId="0" fontId="26" fillId="16" borderId="94" xfId="0" applyFont="1" applyFill="1" applyBorder="1" applyAlignment="1">
      <alignment horizontal="center" vertical="center" wrapText="1"/>
    </xf>
    <xf numFmtId="0" fontId="26" fillId="16" borderId="86" xfId="0" applyFont="1" applyFill="1" applyBorder="1" applyAlignment="1">
      <alignment horizontal="center" vertical="center" wrapText="1"/>
    </xf>
    <xf numFmtId="0" fontId="26" fillId="16" borderId="97" xfId="0" applyFont="1" applyFill="1" applyBorder="1" applyAlignment="1">
      <alignment horizontal="center" vertical="center" wrapText="1"/>
    </xf>
    <xf numFmtId="0" fontId="26" fillId="16" borderId="93" xfId="0" applyFont="1" applyFill="1" applyBorder="1" applyAlignment="1">
      <alignment horizontal="center" vertical="center" wrapText="1"/>
    </xf>
    <xf numFmtId="0" fontId="26" fillId="16" borderId="84" xfId="0" applyFont="1" applyFill="1" applyBorder="1" applyAlignment="1">
      <alignment horizontal="center" vertical="center" wrapText="1"/>
    </xf>
    <xf numFmtId="0" fontId="26" fillId="16" borderId="87" xfId="0" applyFont="1" applyFill="1" applyBorder="1" applyAlignment="1">
      <alignment horizontal="center" vertical="center" wrapText="1"/>
    </xf>
    <xf numFmtId="0" fontId="26" fillId="16" borderId="1" xfId="0" applyFont="1" applyFill="1" applyBorder="1" applyAlignment="1">
      <alignment horizontal="center" vertical="center" wrapText="1"/>
    </xf>
    <xf numFmtId="0" fontId="26" fillId="16" borderId="2" xfId="0" applyFont="1" applyFill="1" applyBorder="1" applyAlignment="1">
      <alignment horizontal="center" vertical="center" wrapText="1"/>
    </xf>
    <xf numFmtId="0" fontId="26" fillId="16" borderId="105" xfId="0" applyFont="1" applyFill="1" applyBorder="1" applyAlignment="1">
      <alignment horizontal="center" vertical="center" wrapText="1"/>
    </xf>
    <xf numFmtId="0" fontId="26" fillId="17" borderId="93" xfId="0" applyFont="1" applyFill="1" applyBorder="1" applyAlignment="1">
      <alignment horizontal="center" vertical="center" wrapText="1"/>
    </xf>
    <xf numFmtId="0" fontId="26" fillId="17" borderId="84" xfId="0" applyFont="1" applyFill="1" applyBorder="1" applyAlignment="1">
      <alignment horizontal="center" vertical="center" wrapText="1"/>
    </xf>
    <xf numFmtId="0" fontId="26" fillId="17" borderId="87" xfId="0" applyFont="1" applyFill="1" applyBorder="1" applyAlignment="1">
      <alignment horizontal="center" vertical="center" wrapText="1"/>
    </xf>
    <xf numFmtId="166" fontId="26" fillId="17" borderId="112" xfId="0" applyNumberFormat="1" applyFont="1" applyFill="1" applyBorder="1" applyAlignment="1">
      <alignment horizontal="center" vertical="center" wrapText="1"/>
    </xf>
    <xf numFmtId="166" fontId="26" fillId="17" borderId="85" xfId="0" applyNumberFormat="1" applyFont="1" applyFill="1" applyBorder="1" applyAlignment="1">
      <alignment horizontal="center" vertical="center" wrapText="1"/>
    </xf>
    <xf numFmtId="166" fontId="26" fillId="17" borderId="92" xfId="0" applyNumberFormat="1" applyFont="1" applyFill="1" applyBorder="1" applyAlignment="1">
      <alignment horizontal="center" vertical="center" wrapText="1"/>
    </xf>
    <xf numFmtId="0" fontId="26" fillId="16" borderId="115" xfId="0" applyFont="1" applyFill="1" applyBorder="1" applyAlignment="1">
      <alignment horizontal="center" vertical="center" wrapText="1"/>
    </xf>
    <xf numFmtId="0" fontId="26" fillId="16" borderId="90" xfId="0" applyFont="1" applyFill="1" applyBorder="1" applyAlignment="1">
      <alignment horizontal="center" vertical="center" wrapText="1"/>
    </xf>
    <xf numFmtId="0" fontId="26" fillId="16" borderId="88" xfId="0" applyFont="1" applyFill="1" applyBorder="1" applyAlignment="1">
      <alignment horizontal="center" vertical="center" wrapText="1"/>
    </xf>
    <xf numFmtId="0" fontId="77" fillId="2" borderId="68" xfId="0" applyFont="1" applyFill="1" applyBorder="1" applyAlignment="1">
      <alignment horizontal="center" vertical="center"/>
    </xf>
    <xf numFmtId="0" fontId="77" fillId="2" borderId="6" xfId="0" applyFont="1" applyFill="1" applyBorder="1" applyAlignment="1">
      <alignment horizontal="center" vertical="center"/>
    </xf>
    <xf numFmtId="0" fontId="21" fillId="11" borderId="93" xfId="0" applyFont="1" applyFill="1" applyBorder="1" applyAlignment="1">
      <alignment horizontal="center" vertical="center" wrapText="1"/>
    </xf>
    <xf numFmtId="0" fontId="21" fillId="11" borderId="84" xfId="0" applyFont="1" applyFill="1" applyBorder="1" applyAlignment="1">
      <alignment horizontal="center" vertical="center" wrapText="1"/>
    </xf>
    <xf numFmtId="0" fontId="21" fillId="11" borderId="87" xfId="0" applyFont="1" applyFill="1" applyBorder="1" applyAlignment="1">
      <alignment horizontal="center" vertical="center" wrapText="1"/>
    </xf>
    <xf numFmtId="168" fontId="26" fillId="16" borderId="112" xfId="0" applyNumberFormat="1" applyFont="1" applyFill="1" applyBorder="1" applyAlignment="1">
      <alignment horizontal="center" vertical="center" wrapText="1"/>
    </xf>
    <xf numFmtId="168" fontId="26" fillId="16" borderId="85" xfId="0" applyNumberFormat="1" applyFont="1" applyFill="1" applyBorder="1" applyAlignment="1">
      <alignment horizontal="center" vertical="center" wrapText="1"/>
    </xf>
    <xf numFmtId="168" fontId="26" fillId="16" borderId="92" xfId="0" applyNumberFormat="1" applyFont="1" applyFill="1" applyBorder="1" applyAlignment="1">
      <alignment horizontal="center" vertical="center" wrapText="1"/>
    </xf>
    <xf numFmtId="166" fontId="26" fillId="16" borderId="112" xfId="0" applyNumberFormat="1" applyFont="1" applyFill="1" applyBorder="1" applyAlignment="1">
      <alignment horizontal="center" vertical="center" wrapText="1"/>
    </xf>
    <xf numFmtId="166" fontId="26" fillId="16" borderId="85" xfId="0" applyNumberFormat="1" applyFont="1" applyFill="1" applyBorder="1" applyAlignment="1">
      <alignment horizontal="center" vertical="center" wrapText="1"/>
    </xf>
    <xf numFmtId="166" fontId="26" fillId="16" borderId="92" xfId="0" applyNumberFormat="1" applyFont="1" applyFill="1" applyBorder="1" applyAlignment="1">
      <alignment horizontal="center" vertical="center" wrapText="1"/>
    </xf>
    <xf numFmtId="0" fontId="68" fillId="2" borderId="68" xfId="0" applyFont="1" applyFill="1" applyBorder="1" applyAlignment="1">
      <alignment horizontal="center" vertical="center"/>
    </xf>
    <xf numFmtId="0" fontId="68" fillId="2" borderId="6" xfId="0" applyFont="1" applyFill="1" applyBorder="1" applyAlignment="1">
      <alignment horizontal="center" vertical="center"/>
    </xf>
    <xf numFmtId="0" fontId="26" fillId="16" borderId="68" xfId="0" applyFont="1" applyFill="1" applyBorder="1" applyAlignment="1">
      <alignment horizontal="center" vertical="center" wrapText="1"/>
    </xf>
    <xf numFmtId="0" fontId="26" fillId="16" borderId="7" xfId="0" applyFont="1" applyFill="1" applyBorder="1" applyAlignment="1">
      <alignment horizontal="center" vertical="center" wrapText="1"/>
    </xf>
    <xf numFmtId="0" fontId="26" fillId="16" borderId="98" xfId="0" applyFont="1" applyFill="1" applyBorder="1" applyAlignment="1">
      <alignment horizontal="center" vertical="center" wrapText="1"/>
    </xf>
    <xf numFmtId="9" fontId="81" fillId="0" borderId="68" xfId="15" applyFont="1" applyFill="1" applyBorder="1" applyAlignment="1">
      <alignment horizontal="center" vertical="center" wrapText="1"/>
    </xf>
    <xf numFmtId="9" fontId="81" fillId="0" borderId="69" xfId="15" applyFont="1" applyFill="1" applyBorder="1" applyAlignment="1">
      <alignment horizontal="center" vertical="center"/>
    </xf>
    <xf numFmtId="0" fontId="81" fillId="0" borderId="22" xfId="0" applyFont="1" applyBorder="1" applyAlignment="1">
      <alignment horizontal="center" vertical="center"/>
    </xf>
    <xf numFmtId="0" fontId="81" fillId="0" borderId="23" xfId="0" applyFont="1" applyBorder="1" applyAlignment="1">
      <alignment horizontal="center" vertical="center"/>
    </xf>
    <xf numFmtId="0" fontId="81" fillId="0" borderId="24" xfId="0" applyFont="1" applyBorder="1" applyAlignment="1">
      <alignment horizontal="center" vertical="center"/>
    </xf>
    <xf numFmtId="0" fontId="81" fillId="0" borderId="68" xfId="0" applyFont="1" applyBorder="1" applyAlignment="1">
      <alignment horizontal="center" vertical="center"/>
    </xf>
    <xf numFmtId="0" fontId="81" fillId="0" borderId="69" xfId="0" applyFont="1" applyBorder="1" applyAlignment="1">
      <alignment horizontal="center" vertical="center"/>
    </xf>
    <xf numFmtId="0" fontId="81" fillId="0" borderId="68"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69" xfId="0" applyFont="1" applyBorder="1" applyAlignment="1">
      <alignment horizontal="center" vertical="center" wrapText="1"/>
    </xf>
    <xf numFmtId="0" fontId="47" fillId="2" borderId="6" xfId="0" applyFont="1" applyFill="1" applyBorder="1" applyAlignment="1">
      <alignment horizontal="center" vertical="center" wrapText="1"/>
    </xf>
    <xf numFmtId="0" fontId="21" fillId="8" borderId="7" xfId="0" applyFont="1" applyFill="1" applyBorder="1" applyAlignment="1" applyProtection="1">
      <alignment horizontal="center" vertical="center" textRotation="180" wrapText="1"/>
      <protection locked="0"/>
    </xf>
    <xf numFmtId="0" fontId="21" fillId="8" borderId="69" xfId="0" applyFont="1" applyFill="1" applyBorder="1" applyAlignment="1" applyProtection="1">
      <alignment horizontal="center" vertical="center" textRotation="180" wrapText="1"/>
      <protection locked="0"/>
    </xf>
    <xf numFmtId="0" fontId="21" fillId="8" borderId="44" xfId="0" applyFont="1" applyFill="1" applyBorder="1" applyAlignment="1" applyProtection="1">
      <alignment horizontal="center" vertical="center" wrapText="1"/>
      <protection locked="0"/>
    </xf>
    <xf numFmtId="0" fontId="21" fillId="8" borderId="50" xfId="0" applyFont="1" applyFill="1" applyBorder="1" applyAlignment="1" applyProtection="1">
      <alignment horizontal="center" vertical="center" wrapText="1"/>
      <protection locked="0"/>
    </xf>
    <xf numFmtId="0" fontId="26" fillId="4" borderId="92" xfId="0" applyFont="1" applyFill="1" applyBorder="1" applyAlignment="1">
      <alignment horizontal="center" vertical="center" wrapText="1"/>
    </xf>
    <xf numFmtId="0" fontId="26" fillId="24" borderId="93" xfId="0" applyFont="1" applyFill="1" applyBorder="1" applyAlignment="1">
      <alignment horizontal="center" vertical="center" wrapText="1"/>
    </xf>
    <xf numFmtId="0" fontId="26" fillId="24" borderId="84" xfId="0" applyFont="1" applyFill="1" applyBorder="1" applyAlignment="1">
      <alignment horizontal="center" vertical="center" wrapText="1"/>
    </xf>
    <xf numFmtId="0" fontId="26" fillId="24" borderId="87" xfId="0" applyFont="1" applyFill="1" applyBorder="1" applyAlignment="1">
      <alignment horizontal="center" vertical="center" wrapText="1"/>
    </xf>
    <xf numFmtId="166" fontId="26" fillId="24" borderId="112" xfId="0" applyNumberFormat="1" applyFont="1" applyFill="1" applyBorder="1" applyAlignment="1">
      <alignment horizontal="center" vertical="center" wrapText="1"/>
    </xf>
    <xf numFmtId="166" fontId="26" fillId="24" borderId="85" xfId="0" applyNumberFormat="1" applyFont="1" applyFill="1" applyBorder="1" applyAlignment="1">
      <alignment horizontal="center" vertical="center" wrapText="1"/>
    </xf>
    <xf numFmtId="166" fontId="26" fillId="24" borderId="92" xfId="0" applyNumberFormat="1" applyFont="1" applyFill="1" applyBorder="1" applyAlignment="1">
      <alignment horizontal="center" vertical="center" wrapText="1"/>
    </xf>
  </cellXfs>
  <cellStyles count="58">
    <cellStyle name="Euro" xfId="1"/>
    <cellStyle name="Euro 2" xfId="2"/>
    <cellStyle name="Euro 2 2" xfId="29"/>
    <cellStyle name="Euro 3" xfId="3"/>
    <cellStyle name="Euro 3 2" xfId="4"/>
    <cellStyle name="Euro 3 2 2" xfId="31"/>
    <cellStyle name="Euro 3 3" xfId="30"/>
    <cellStyle name="Euro 4" xfId="5"/>
    <cellStyle name="Euro 4 2" xfId="20"/>
    <cellStyle name="Euro 4 2 2" xfId="44"/>
    <cellStyle name="Euro 4 3" xfId="32"/>
    <cellStyle name="Millares [0]" xfId="6" builtinId="6"/>
    <cellStyle name="Millares [0] 2" xfId="7"/>
    <cellStyle name="Millares [0] 2 2" xfId="33"/>
    <cellStyle name="Millares [0] 3" xfId="8"/>
    <cellStyle name="Millares [0] 3 2" xfId="9"/>
    <cellStyle name="Millares [0] 3 2 2" xfId="35"/>
    <cellStyle name="Millares [0] 3 3" xfId="34"/>
    <cellStyle name="Millares [0] 4" xfId="10"/>
    <cellStyle name="Millares [0] 4 2" xfId="21"/>
    <cellStyle name="Millares [0] 4 2 2" xfId="45"/>
    <cellStyle name="Millares [0] 4 3" xfId="36"/>
    <cellStyle name="Millares [0] 5" xfId="26"/>
    <cellStyle name="Millares [0] 6" xfId="52"/>
    <cellStyle name="Normal" xfId="0" builtinId="0"/>
    <cellStyle name="Normal 2" xfId="11"/>
    <cellStyle name="Normal 2 2" xfId="12"/>
    <cellStyle name="Normal 2 2 2" xfId="38"/>
    <cellStyle name="Normal 2 3" xfId="37"/>
    <cellStyle name="Normal 3" xfId="13"/>
    <cellStyle name="Normal 3 2" xfId="22"/>
    <cellStyle name="Normal 3 2 2" xfId="46"/>
    <cellStyle name="Normal 3 2 3" xfId="55"/>
    <cellStyle name="Normal 3 3" xfId="27"/>
    <cellStyle name="Normal 3 3 2" xfId="49"/>
    <cellStyle name="Normal 3 3 3" xfId="57"/>
    <cellStyle name="Normal 3 4" xfId="39"/>
    <cellStyle name="Normal 3 5" xfId="53"/>
    <cellStyle name="Normal 4" xfId="25"/>
    <cellStyle name="Normal 5" xfId="24"/>
    <cellStyle name="Normal 5 2" xfId="48"/>
    <cellStyle name="Normal 5 3" xfId="56"/>
    <cellStyle name="Normal 6" xfId="51"/>
    <cellStyle name="Normal 7" xfId="50"/>
    <cellStyle name="Normal_cvalencia%nal-98" xfId="14"/>
    <cellStyle name="Porcentaje" xfId="15" builtinId="5"/>
    <cellStyle name="Porcentaje 2" xfId="16"/>
    <cellStyle name="Porcentaje 2 2" xfId="40"/>
    <cellStyle name="Porcentaje 3" xfId="17"/>
    <cellStyle name="Porcentaje 3 2" xfId="18"/>
    <cellStyle name="Porcentaje 3 2 2" xfId="42"/>
    <cellStyle name="Porcentaje 3 3" xfId="41"/>
    <cellStyle name="Porcentaje 4" xfId="19"/>
    <cellStyle name="Porcentaje 4 2" xfId="23"/>
    <cellStyle name="Porcentaje 4 2 2" xfId="47"/>
    <cellStyle name="Porcentaje 4 3" xfId="43"/>
    <cellStyle name="Porcentaje 5" xfId="28"/>
    <cellStyle name="Porcentaje 6" xfId="54"/>
  </cellStyles>
  <dxfs count="656">
    <dxf>
      <font>
        <b/>
        <i val="0"/>
        <color rgb="FFC00000"/>
      </font>
    </dxf>
    <dxf>
      <font>
        <b/>
        <i val="0"/>
        <color rgb="FFC00000"/>
      </font>
    </dxf>
    <dxf>
      <font>
        <b/>
        <i val="0"/>
        <color rgb="FFC00000"/>
      </font>
    </dxf>
    <dxf>
      <fill>
        <patternFill>
          <bgColor indexed="42"/>
        </patternFill>
      </fill>
    </dxf>
    <dxf>
      <fill>
        <patternFill>
          <bgColor indexed="43"/>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indexed="44"/>
        </patternFill>
      </fill>
    </dxf>
    <dxf>
      <fill>
        <patternFill>
          <bgColor indexed="51"/>
        </patternFill>
      </fill>
    </dxf>
    <dxf>
      <fill>
        <patternFill>
          <bgColor indexed="44"/>
        </patternFill>
      </fill>
    </dxf>
    <dxf>
      <fill>
        <patternFill>
          <bgColor indexed="51"/>
        </patternFill>
      </fill>
    </dxf>
    <dxf>
      <font>
        <b/>
        <i val="0"/>
        <color rgb="FFC00000"/>
      </font>
    </dxf>
    <dxf>
      <font>
        <b/>
        <i val="0"/>
        <color rgb="FFC00000"/>
        <name val="Cambria"/>
        <scheme val="none"/>
      </font>
      <fill>
        <patternFill patternType="none">
          <bgColor indexed="65"/>
        </patternFill>
      </fill>
    </dxf>
    <dxf>
      <fill>
        <patternFill>
          <bgColor rgb="FFFFC000"/>
        </patternFill>
      </fill>
    </dxf>
    <dxf>
      <font>
        <b/>
        <i val="0"/>
        <color rgb="FFC00000"/>
        <name val="Cambria"/>
        <scheme val="none"/>
      </font>
      <fill>
        <patternFill patternType="none">
          <bgColor indexed="65"/>
        </patternFill>
      </fill>
    </dxf>
    <dxf>
      <fill>
        <patternFill>
          <bgColor rgb="FFFFC0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indexed="44"/>
        </patternFill>
      </fill>
    </dxf>
    <dxf>
      <fill>
        <patternFill>
          <bgColor indexed="51"/>
        </patternFill>
      </fill>
    </dxf>
    <dxf>
      <font>
        <b/>
        <i val="0"/>
        <color rgb="FFC00000"/>
      </font>
    </dxf>
    <dxf>
      <font>
        <b/>
        <i val="0"/>
        <color rgb="FFC00000"/>
      </font>
    </dxf>
    <dxf>
      <font>
        <b/>
        <i val="0"/>
        <color rgb="FFC00000"/>
        <name val="Cambria"/>
        <scheme val="none"/>
      </font>
      <fill>
        <patternFill patternType="none">
          <bgColor indexed="65"/>
        </patternFill>
      </fill>
    </dxf>
    <dxf>
      <fill>
        <patternFill>
          <bgColor rgb="FFFFC000"/>
        </patternFill>
      </fill>
    </dxf>
    <dxf>
      <font>
        <b/>
        <i val="0"/>
        <color rgb="FFC00000"/>
        <name val="Cambria"/>
        <scheme val="none"/>
      </font>
      <fill>
        <patternFill patternType="none">
          <bgColor indexed="65"/>
        </patternFill>
      </fill>
    </dxf>
    <dxf>
      <fill>
        <patternFill>
          <bgColor rgb="FFFFC000"/>
        </patternFill>
      </fill>
    </dxf>
    <dxf>
      <font>
        <b/>
        <i val="0"/>
        <color rgb="FFC00000"/>
      </font>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name val="Cambria"/>
        <scheme val="none"/>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name val="Cambria"/>
        <scheme val="none"/>
      </font>
    </dxf>
    <dxf>
      <font>
        <b/>
        <i val="0"/>
        <color rgb="FFC00000"/>
      </font>
    </dxf>
    <dxf>
      <fill>
        <patternFill>
          <bgColor indexed="44"/>
        </patternFill>
      </fill>
    </dxf>
    <dxf>
      <fill>
        <patternFill>
          <bgColor indexed="51"/>
        </patternFill>
      </fill>
    </dxf>
    <dxf>
      <font>
        <b/>
        <i val="0"/>
        <color rgb="FFC00000"/>
      </font>
    </dxf>
    <dxf>
      <font>
        <b/>
        <i val="0"/>
        <color rgb="FFC00000"/>
      </font>
    </dxf>
    <dxf>
      <font>
        <color auto="1"/>
      </font>
      <fill>
        <patternFill>
          <bgColor rgb="FFFFC000"/>
        </patternFill>
      </fill>
    </dxf>
    <dxf>
      <font>
        <b/>
        <i val="0"/>
        <color rgb="FFC00000"/>
        <name val="Cambria"/>
        <scheme val="none"/>
      </font>
      <fill>
        <patternFill patternType="none">
          <bgColor indexed="65"/>
        </patternFill>
      </fill>
    </dxf>
    <dxf>
      <font>
        <color auto="1"/>
      </font>
      <fill>
        <patternFill>
          <bgColor rgb="FFFFC0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indexed="44"/>
        </patternFill>
      </fill>
    </dxf>
    <dxf>
      <fill>
        <patternFill>
          <bgColor indexed="51"/>
        </patternFill>
      </fill>
    </dxf>
    <dxf>
      <font>
        <b/>
        <i val="0"/>
        <color rgb="FFC00000"/>
      </font>
    </dxf>
    <dxf>
      <font>
        <b/>
        <i val="0"/>
        <color rgb="FFC00000"/>
      </font>
    </dxf>
    <dxf>
      <font>
        <b/>
        <i val="0"/>
        <color rgb="FFC00000"/>
        <name val="Cambria"/>
        <scheme val="none"/>
      </font>
      <fill>
        <patternFill patternType="none">
          <bgColor indexed="65"/>
        </patternFill>
      </fill>
    </dxf>
    <dxf>
      <font>
        <b/>
        <i val="0"/>
        <color rgb="FFC00000"/>
      </font>
    </dxf>
    <dxf>
      <fill>
        <patternFill>
          <bgColor rgb="FFFFC000"/>
        </patternFill>
      </fill>
    </dxf>
    <dxf>
      <font>
        <b/>
        <i val="0"/>
        <color rgb="FFC00000"/>
      </font>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ont>
        <b/>
        <i val="0"/>
        <condense val="0"/>
        <extend val="0"/>
        <color indexed="14"/>
      </font>
    </dxf>
    <dxf>
      <font>
        <b/>
        <i val="0"/>
        <condense val="0"/>
        <extend val="0"/>
        <color indexed="14"/>
      </font>
    </dxf>
    <dxf>
      <font>
        <b/>
        <i val="0"/>
        <condense val="0"/>
        <extend val="0"/>
        <color indexed="14"/>
      </font>
      <fill>
        <patternFill patternType="none">
          <bgColor indexed="65"/>
        </patternFill>
      </fill>
    </dxf>
    <dxf>
      <font>
        <b/>
        <i val="0"/>
        <condense val="0"/>
        <extend val="0"/>
        <color indexed="14"/>
      </font>
      <fill>
        <patternFill patternType="none">
          <bgColor indexed="65"/>
        </patternFill>
      </fill>
    </dxf>
    <dxf>
      <fill>
        <patternFill>
          <bgColor indexed="44"/>
        </patternFill>
      </fill>
    </dxf>
    <dxf>
      <fill>
        <patternFill>
          <bgColor indexed="51"/>
        </patternFill>
      </fill>
    </dxf>
    <dxf>
      <fill>
        <patternFill>
          <bgColor indexed="42"/>
        </patternFill>
      </fill>
    </dxf>
    <dxf>
      <fill>
        <patternFill>
          <bgColor indexed="43"/>
        </patternFill>
      </fill>
    </dxf>
    <dxf>
      <font>
        <color indexed="14"/>
      </font>
    </dxf>
    <dxf>
      <font>
        <b/>
        <i val="0"/>
        <condense val="0"/>
        <extend val="0"/>
        <color indexed="14"/>
      </font>
    </dxf>
    <dxf>
      <font>
        <b/>
        <i val="0"/>
        <condense val="0"/>
        <extend val="0"/>
        <color indexed="14"/>
      </font>
    </dxf>
    <dxf>
      <font>
        <color rgb="FFFF00FF"/>
      </font>
    </dxf>
    <dxf>
      <font>
        <color indexed="14"/>
      </font>
    </dxf>
    <dxf>
      <font>
        <color rgb="FFFF00FF"/>
      </font>
    </dxf>
    <dxf>
      <font>
        <color rgb="FFFF00FF"/>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33"/>
      </font>
    </dxf>
    <dxf>
      <font>
        <b/>
        <i val="0"/>
        <condense val="0"/>
        <extend val="0"/>
        <color indexed="14"/>
      </font>
    </dxf>
    <dxf>
      <font>
        <b/>
        <i val="0"/>
        <condense val="0"/>
        <extend val="0"/>
        <color indexed="14"/>
      </font>
    </dxf>
    <dxf>
      <font>
        <b/>
        <i val="0"/>
        <condense val="0"/>
        <extend val="0"/>
        <color indexed="14"/>
      </font>
    </dxf>
    <dxf>
      <font>
        <b/>
        <i val="0"/>
        <condense val="0"/>
        <extend val="0"/>
        <color indexed="33"/>
      </font>
    </dxf>
    <dxf>
      <font>
        <b/>
        <i val="0"/>
        <condense val="0"/>
        <extend val="0"/>
        <color indexed="14"/>
      </font>
    </dxf>
    <dxf>
      <font>
        <b/>
        <i val="0"/>
        <condense val="0"/>
        <extend val="0"/>
        <color indexed="33"/>
      </font>
    </dxf>
    <dxf>
      <font>
        <b/>
        <i val="0"/>
        <condense val="0"/>
        <extend val="0"/>
        <color indexed="33"/>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ill>
        <patternFill>
          <bgColor rgb="FFFFC000"/>
        </patternFill>
      </fill>
    </dxf>
    <dxf>
      <fill>
        <patternFill>
          <bgColor rgb="FF99CCFF"/>
        </patternFill>
      </fill>
    </dxf>
    <dxf>
      <fill>
        <patternFill>
          <bgColor rgb="FFFFC000"/>
        </patternFill>
      </fill>
    </dxf>
    <dxf>
      <fill>
        <patternFill>
          <bgColor rgb="FF99CCFF"/>
        </patternFill>
      </fill>
    </dxf>
    <dxf>
      <fill>
        <patternFill>
          <bgColor rgb="FFFFC000"/>
        </patternFill>
      </fill>
    </dxf>
    <dxf>
      <fill>
        <patternFill>
          <bgColor rgb="FF99CCFF"/>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ont>
        <b/>
        <i val="0"/>
        <condense val="0"/>
        <extend val="0"/>
        <color indexed="14"/>
      </font>
    </dxf>
    <dxf>
      <font>
        <b/>
        <i val="0"/>
        <condense val="0"/>
        <extend val="0"/>
        <color indexed="14"/>
      </font>
    </dxf>
    <dxf>
      <fill>
        <patternFill>
          <bgColor indexed="44"/>
        </patternFill>
      </fill>
    </dxf>
    <dxf>
      <fill>
        <patternFill>
          <bgColor indexed="51"/>
        </patternFill>
      </fill>
    </dxf>
    <dxf>
      <fill>
        <patternFill>
          <bgColor indexed="44"/>
        </patternFill>
      </fill>
    </dxf>
    <dxf>
      <fill>
        <patternFill>
          <bgColor indexed="51"/>
        </patternFill>
      </fill>
    </dxf>
    <dxf>
      <font>
        <b/>
        <i val="0"/>
        <condense val="0"/>
        <extend val="0"/>
        <color indexed="14"/>
      </font>
      <fill>
        <patternFill patternType="none">
          <bgColor indexed="65"/>
        </patternFill>
      </fill>
    </dxf>
    <dxf>
      <fill>
        <patternFill>
          <bgColor rgb="FFFFC000"/>
        </patternFill>
      </fill>
    </dxf>
    <dxf>
      <font>
        <b/>
        <i val="0"/>
        <condense val="0"/>
        <extend val="0"/>
        <color indexed="14"/>
      </font>
      <fill>
        <patternFill patternType="none">
          <bgColor indexed="65"/>
        </patternFill>
      </fill>
    </dxf>
    <dxf>
      <font>
        <color rgb="FFFF00FF"/>
      </font>
    </dxf>
  </dxfs>
  <tableStyles count="0" defaultTableStyle="TableStyleMedium9" defaultPivotStyle="PivotStyleLight16"/>
  <colors>
    <mruColors>
      <color rgb="FFAEEA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123825</xdr:rowOff>
    </xdr:from>
    <xdr:to>
      <xdr:col>0</xdr:col>
      <xdr:colOff>2705100</xdr:colOff>
      <xdr:row>0</xdr:row>
      <xdr:rowOff>1438275</xdr:rowOff>
    </xdr:to>
    <xdr:pic>
      <xdr:nvPicPr>
        <xdr:cNvPr id="191764" name="4 Imagen">
          <a:extLst>
            <a:ext uri="{FF2B5EF4-FFF2-40B4-BE49-F238E27FC236}">
              <a16:creationId xmlns:a16="http://schemas.microsoft.com/office/drawing/2014/main" id="{4FE37DC8-5747-445A-B4E4-F8D2563374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123825"/>
          <a:ext cx="2667000"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2143125</xdr:colOff>
      <xdr:row>0</xdr:row>
      <xdr:rowOff>1057275</xdr:rowOff>
    </xdr:to>
    <xdr:pic>
      <xdr:nvPicPr>
        <xdr:cNvPr id="188361" name="2 Imagen">
          <a:extLst>
            <a:ext uri="{FF2B5EF4-FFF2-40B4-BE49-F238E27FC236}">
              <a16:creationId xmlns:a16="http://schemas.microsoft.com/office/drawing/2014/main" id="{AFD0ABCD-32D4-47B2-8A81-711573C6E3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0</xdr:row>
      <xdr:rowOff>57150</xdr:rowOff>
    </xdr:from>
    <xdr:to>
      <xdr:col>0</xdr:col>
      <xdr:colOff>2162175</xdr:colOff>
      <xdr:row>0</xdr:row>
      <xdr:rowOff>1114425</xdr:rowOff>
    </xdr:to>
    <xdr:pic>
      <xdr:nvPicPr>
        <xdr:cNvPr id="192787" name="2 Imagen">
          <a:extLst>
            <a:ext uri="{FF2B5EF4-FFF2-40B4-BE49-F238E27FC236}">
              <a16:creationId xmlns:a16="http://schemas.microsoft.com/office/drawing/2014/main" id="{B05915F6-7298-4557-99F4-E5AC6BE25C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57150"/>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0</xdr:row>
      <xdr:rowOff>85725</xdr:rowOff>
    </xdr:from>
    <xdr:to>
      <xdr:col>0</xdr:col>
      <xdr:colOff>2286000</xdr:colOff>
      <xdr:row>0</xdr:row>
      <xdr:rowOff>1143000</xdr:rowOff>
    </xdr:to>
    <xdr:pic>
      <xdr:nvPicPr>
        <xdr:cNvPr id="193811" name="2 Imagen">
          <a:extLst>
            <a:ext uri="{FF2B5EF4-FFF2-40B4-BE49-F238E27FC236}">
              <a16:creationId xmlns:a16="http://schemas.microsoft.com/office/drawing/2014/main" id="{E86E0576-128B-4619-8349-108A59C794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85725"/>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238125</xdr:colOff>
      <xdr:row>0</xdr:row>
      <xdr:rowOff>66675</xdr:rowOff>
    </xdr:from>
    <xdr:to>
      <xdr:col>0</xdr:col>
      <xdr:colOff>2381250</xdr:colOff>
      <xdr:row>0</xdr:row>
      <xdr:rowOff>1123950</xdr:rowOff>
    </xdr:to>
    <xdr:pic>
      <xdr:nvPicPr>
        <xdr:cNvPr id="194835" name="2 Imagen">
          <a:extLst>
            <a:ext uri="{FF2B5EF4-FFF2-40B4-BE49-F238E27FC236}">
              <a16:creationId xmlns:a16="http://schemas.microsoft.com/office/drawing/2014/main" id="{B10EF767-C1F7-4C75-8254-9B5205F3D8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66675"/>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0</xdr:col>
      <xdr:colOff>2028825</xdr:colOff>
      <xdr:row>0</xdr:row>
      <xdr:rowOff>1047750</xdr:rowOff>
    </xdr:to>
    <xdr:pic>
      <xdr:nvPicPr>
        <xdr:cNvPr id="195859" name="2 Imagen">
          <a:extLst>
            <a:ext uri="{FF2B5EF4-FFF2-40B4-BE49-F238E27FC236}">
              <a16:creationId xmlns:a16="http://schemas.microsoft.com/office/drawing/2014/main" id="{70554785-9FCB-4975-9F43-39FB3D6518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575"/>
          <a:ext cx="20288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9525</xdr:colOff>
      <xdr:row>0</xdr:row>
      <xdr:rowOff>123825</xdr:rowOff>
    </xdr:from>
    <xdr:to>
      <xdr:col>0</xdr:col>
      <xdr:colOff>2057400</xdr:colOff>
      <xdr:row>0</xdr:row>
      <xdr:rowOff>1190625</xdr:rowOff>
    </xdr:to>
    <xdr:pic>
      <xdr:nvPicPr>
        <xdr:cNvPr id="196883" name="2 Imagen">
          <a:extLst>
            <a:ext uri="{FF2B5EF4-FFF2-40B4-BE49-F238E27FC236}">
              <a16:creationId xmlns:a16="http://schemas.microsoft.com/office/drawing/2014/main" id="{4BA9D1B0-0FE3-484C-AB79-54FECD2E8C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23825"/>
          <a:ext cx="204787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133350</xdr:colOff>
      <xdr:row>0</xdr:row>
      <xdr:rowOff>295275</xdr:rowOff>
    </xdr:from>
    <xdr:to>
      <xdr:col>1</xdr:col>
      <xdr:colOff>2162175</xdr:colOff>
      <xdr:row>0</xdr:row>
      <xdr:rowOff>1304925</xdr:rowOff>
    </xdr:to>
    <xdr:pic>
      <xdr:nvPicPr>
        <xdr:cNvPr id="197907" name="2 Imagen">
          <a:extLst>
            <a:ext uri="{FF2B5EF4-FFF2-40B4-BE49-F238E27FC236}">
              <a16:creationId xmlns:a16="http://schemas.microsoft.com/office/drawing/2014/main" id="{AD615534-88CB-4EBA-822B-93B1DAE440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295275"/>
          <a:ext cx="20288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0</xdr:col>
      <xdr:colOff>2076450</xdr:colOff>
      <xdr:row>6</xdr:row>
      <xdr:rowOff>38100</xdr:rowOff>
    </xdr:to>
    <xdr:pic>
      <xdr:nvPicPr>
        <xdr:cNvPr id="198931" name="4 Imagen">
          <a:extLst>
            <a:ext uri="{FF2B5EF4-FFF2-40B4-BE49-F238E27FC236}">
              <a16:creationId xmlns:a16="http://schemas.microsoft.com/office/drawing/2014/main" id="{351E2B84-EF2C-419F-8690-5B339627A4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20669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133350</xdr:colOff>
      <xdr:row>0</xdr:row>
      <xdr:rowOff>295275</xdr:rowOff>
    </xdr:from>
    <xdr:to>
      <xdr:col>2</xdr:col>
      <xdr:colOff>2047875</xdr:colOff>
      <xdr:row>1</xdr:row>
      <xdr:rowOff>0</xdr:rowOff>
    </xdr:to>
    <xdr:pic>
      <xdr:nvPicPr>
        <xdr:cNvPr id="200716" name="2 Imagen">
          <a:extLst>
            <a:ext uri="{FF2B5EF4-FFF2-40B4-BE49-F238E27FC236}">
              <a16:creationId xmlns:a16="http://schemas.microsoft.com/office/drawing/2014/main" id="{38272C42-FB2C-4C72-97AE-AE7FAD572E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7350" y="295275"/>
          <a:ext cx="19145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114300</xdr:colOff>
      <xdr:row>0</xdr:row>
      <xdr:rowOff>0</xdr:rowOff>
    </xdr:from>
    <xdr:to>
      <xdr:col>1</xdr:col>
      <xdr:colOff>2143125</xdr:colOff>
      <xdr:row>0</xdr:row>
      <xdr:rowOff>1009650</xdr:rowOff>
    </xdr:to>
    <xdr:pic>
      <xdr:nvPicPr>
        <xdr:cNvPr id="199719" name="2 Imagen">
          <a:extLst>
            <a:ext uri="{FF2B5EF4-FFF2-40B4-BE49-F238E27FC236}">
              <a16:creationId xmlns:a16="http://schemas.microsoft.com/office/drawing/2014/main" id="{C757F274-23DA-45A7-9D35-08C40E0D9D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0"/>
          <a:ext cx="20288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14.bin"/><Relationship Id="rId4" Type="http://schemas.openxmlformats.org/officeDocument/2006/relationships/comments" Target="../comments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vmlDrawing" Target="../drawings/vmlDrawing7.vml"/><Relationship Id="rId1" Type="http://schemas.openxmlformats.org/officeDocument/2006/relationships/printerSettings" Target="../printerSettings/printerSettings15.bin"/><Relationship Id="rId4" Type="http://schemas.openxmlformats.org/officeDocument/2006/relationships/comments" Target="../comments4.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9.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vmlDrawing" Target="../drawings/vmlDrawing10.vml"/><Relationship Id="rId1" Type="http://schemas.openxmlformats.org/officeDocument/2006/relationships/printerSettings" Target="../printerSettings/printerSettings18.bin"/><Relationship Id="rId4" Type="http://schemas.openxmlformats.org/officeDocument/2006/relationships/comments" Target="../comments6.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vmlDrawing" Target="../drawings/vmlDrawing12.vml"/><Relationship Id="rId1" Type="http://schemas.openxmlformats.org/officeDocument/2006/relationships/printerSettings" Target="../printerSettings/printerSettings20.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indexed="51"/>
    <pageSetUpPr fitToPage="1"/>
  </sheetPr>
  <dimension ref="A1:S16"/>
  <sheetViews>
    <sheetView tabSelected="1" zoomScale="90" zoomScaleNormal="90" workbookViewId="0"/>
  </sheetViews>
  <sheetFormatPr baseColWidth="10" defaultRowHeight="12.75"/>
  <cols>
    <col min="1" max="1" width="47" customWidth="1"/>
    <col min="2" max="2" width="16.140625" customWidth="1"/>
    <col min="3" max="3" width="25.140625" customWidth="1"/>
    <col min="4" max="4" width="18.7109375" customWidth="1"/>
    <col min="5" max="5" width="34.140625" customWidth="1"/>
    <col min="6" max="6" width="2.140625" customWidth="1"/>
    <col min="14" max="14" width="10.28515625" customWidth="1"/>
    <col min="16" max="17" width="11.42578125" hidden="1" customWidth="1"/>
    <col min="18" max="18" width="14.28515625" hidden="1" customWidth="1"/>
    <col min="19" max="19" width="22.7109375" hidden="1" customWidth="1"/>
  </cols>
  <sheetData>
    <row r="1" spans="1:19" ht="119.25" customHeight="1"/>
    <row r="2" spans="1:19" ht="13.5" thickBot="1">
      <c r="Q2" t="s">
        <v>228</v>
      </c>
    </row>
    <row r="3" spans="1:19" ht="23.25" thickBot="1">
      <c r="A3" s="1187" t="s">
        <v>100</v>
      </c>
      <c r="B3" s="1188"/>
      <c r="C3" s="1188"/>
      <c r="D3" s="1189"/>
      <c r="E3" s="365"/>
      <c r="F3" s="2"/>
      <c r="Q3" s="345">
        <v>1</v>
      </c>
      <c r="R3" s="345">
        <v>3</v>
      </c>
      <c r="S3" t="b">
        <f>AND(Q3&gt;=TrimIni,Q3&lt;=TrimFin)</f>
        <v>0</v>
      </c>
    </row>
    <row r="4" spans="1:19" ht="22.5" customHeight="1" thickBot="1">
      <c r="A4" s="366" t="s">
        <v>911</v>
      </c>
      <c r="B4" s="365"/>
      <c r="C4" s="365"/>
      <c r="D4" s="365"/>
      <c r="E4" s="365"/>
      <c r="F4" s="2"/>
      <c r="Q4" s="345">
        <v>2</v>
      </c>
      <c r="R4" s="345">
        <v>3</v>
      </c>
      <c r="S4" t="b">
        <f>AND(Q4&gt;=TrimIni,Q4&lt;=TrimFin)</f>
        <v>0</v>
      </c>
    </row>
    <row r="5" spans="1:19" ht="15.75" thickBot="1">
      <c r="A5" s="367" t="s">
        <v>37</v>
      </c>
      <c r="B5" s="368">
        <v>2025</v>
      </c>
      <c r="C5" s="369" t="s">
        <v>215</v>
      </c>
      <c r="D5" s="370">
        <v>4</v>
      </c>
      <c r="E5" s="371"/>
      <c r="F5" s="3"/>
      <c r="H5" t="s">
        <v>424</v>
      </c>
      <c r="Q5" s="345">
        <v>3</v>
      </c>
      <c r="R5" s="345">
        <v>2</v>
      </c>
      <c r="S5" t="b">
        <f>AND(Q5&gt;=TrimIni,Q5&lt;=TrimFin)</f>
        <v>0</v>
      </c>
    </row>
    <row r="6" spans="1:19" ht="15">
      <c r="A6" s="372"/>
      <c r="B6" s="371"/>
      <c r="C6" s="369" t="s">
        <v>216</v>
      </c>
      <c r="D6" s="370">
        <v>4</v>
      </c>
      <c r="E6" s="371"/>
      <c r="F6" s="3"/>
      <c r="Q6" s="345">
        <v>4</v>
      </c>
      <c r="R6" s="345">
        <v>3</v>
      </c>
      <c r="S6" t="b">
        <f>AND(Q6&gt;=TrimIni,Q6&lt;=TrimFin)</f>
        <v>1</v>
      </c>
    </row>
    <row r="7" spans="1:19" ht="13.5" thickBot="1">
      <c r="A7" s="373"/>
      <c r="B7" s="374"/>
      <c r="C7" s="371"/>
      <c r="D7" s="371"/>
      <c r="E7" s="371"/>
      <c r="F7" s="3"/>
      <c r="Q7" s="345"/>
      <c r="R7" s="345"/>
    </row>
    <row r="8" spans="1:19" ht="22.5">
      <c r="A8" s="471"/>
      <c r="B8" s="375"/>
      <c r="C8" s="376"/>
      <c r="D8" s="377"/>
      <c r="E8" s="378"/>
      <c r="F8" s="3"/>
      <c r="Q8" s="345"/>
      <c r="R8" s="346">
        <f>11/SUMIF(S3:S6,TRUE,R3:R6)</f>
        <v>3.6666666666666665</v>
      </c>
    </row>
    <row r="9" spans="1:19">
      <c r="A9" s="379" t="s">
        <v>912</v>
      </c>
      <c r="B9" s="374" t="s">
        <v>913</v>
      </c>
      <c r="C9" s="371"/>
      <c r="D9" s="371"/>
      <c r="E9" s="380"/>
      <c r="F9" s="3"/>
    </row>
    <row r="10" spans="1:19">
      <c r="A10" s="379" t="s">
        <v>914</v>
      </c>
      <c r="B10" s="371" t="s">
        <v>915</v>
      </c>
      <c r="C10" s="371"/>
      <c r="D10" s="371"/>
      <c r="E10" s="380"/>
      <c r="F10" s="3"/>
      <c r="Q10" s="345">
        <v>0</v>
      </c>
    </row>
    <row r="11" spans="1:19" ht="13.5" thickBot="1">
      <c r="A11" s="381" t="s">
        <v>916</v>
      </c>
      <c r="B11" s="382" t="s">
        <v>917</v>
      </c>
      <c r="C11" s="382"/>
      <c r="D11" s="382"/>
      <c r="E11" s="383"/>
      <c r="F11" s="3"/>
    </row>
    <row r="12" spans="1:19" ht="40.5" customHeight="1" thickBot="1">
      <c r="A12" s="373"/>
      <c r="B12" s="371"/>
      <c r="C12" s="371"/>
      <c r="D12" s="371"/>
      <c r="E12" s="371"/>
      <c r="F12" s="3"/>
      <c r="Q12" s="1104"/>
    </row>
    <row r="13" spans="1:19" ht="15">
      <c r="A13" s="384" t="s">
        <v>124</v>
      </c>
      <c r="B13" s="385" t="s">
        <v>55</v>
      </c>
      <c r="C13" s="789" t="s">
        <v>723</v>
      </c>
      <c r="D13" s="371" t="s">
        <v>55</v>
      </c>
      <c r="E13" s="371"/>
      <c r="F13" s="3"/>
    </row>
    <row r="14" spans="1:19" ht="15">
      <c r="A14" s="386" t="s">
        <v>90</v>
      </c>
      <c r="B14" s="387" t="s">
        <v>127</v>
      </c>
      <c r="C14" s="371"/>
      <c r="D14" s="371"/>
      <c r="E14" s="371"/>
      <c r="F14" s="3"/>
    </row>
    <row r="15" spans="1:19" ht="13.5" thickBot="1">
      <c r="A15" s="260"/>
      <c r="B15" s="4"/>
      <c r="C15" s="4"/>
      <c r="D15" s="4"/>
      <c r="E15" s="4"/>
      <c r="F15" s="5"/>
    </row>
    <row r="16" spans="1:19" ht="23.25">
      <c r="A16" s="68"/>
    </row>
  </sheetData>
  <sheetProtection algorithmName="SHA-512" hashValue="l+vOBMgXYi7omNYmBx9WMr8PsBYPl+eominqNh3YB/s6tHI8cG+t+HhWesOM2oELj3m+nAHxJvipz/MCb8KJqA==" saltValue="MYcEhUSIbS0uPakXtDKV5Q==" spinCount="100000" sheet="1" objects="1" scenarios="1"/>
  <mergeCells count="1">
    <mergeCell ref="A3:D3"/>
  </mergeCells>
  <phoneticPr fontId="0" type="noConversion"/>
  <dataValidations count="1">
    <dataValidation type="list" showInputMessage="1" showErrorMessage="1" sqref="B13:B14">
      <formula1>"SI,NO"</formula1>
    </dataValidation>
  </dataValidations>
  <pageMargins left="0.75" right="0.75" top="0.89" bottom="1" header="0" footer="0"/>
  <pageSetup paperSize="9" scale="92"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indexed="47"/>
    <pageSetUpPr fitToPage="1"/>
  </sheetPr>
  <dimension ref="A1:BQ27"/>
  <sheetViews>
    <sheetView zoomScale="85" zoomScaleNormal="85" workbookViewId="0">
      <selection activeCell="A14" sqref="A14"/>
    </sheetView>
  </sheetViews>
  <sheetFormatPr baseColWidth="10" defaultColWidth="11.42578125" defaultRowHeight="12.75"/>
  <cols>
    <col min="1" max="1" width="33.5703125" style="371" customWidth="1"/>
    <col min="2" max="2" width="9.42578125" style="371" customWidth="1"/>
    <col min="3" max="3" width="13.28515625" style="371" customWidth="1"/>
    <col min="4" max="4" width="13" style="371" hidden="1" customWidth="1"/>
    <col min="5" max="5" width="13.42578125" style="371" customWidth="1"/>
    <col min="6" max="6" width="10.7109375" style="371" customWidth="1"/>
    <col min="7" max="7" width="14.7109375" style="371" customWidth="1"/>
    <col min="8" max="8" width="10.7109375" style="371" customWidth="1"/>
    <col min="9" max="9" width="14.7109375" style="371" customWidth="1"/>
    <col min="10" max="10" width="10.85546875" style="371" customWidth="1"/>
    <col min="11" max="13" width="14.85546875" style="371" hidden="1" customWidth="1"/>
    <col min="14" max="14" width="14.140625" style="371" hidden="1" customWidth="1"/>
    <col min="15" max="68" width="11.42578125" style="371"/>
    <col min="69" max="69" width="0" style="1025" hidden="1" customWidth="1"/>
    <col min="70" max="16384" width="11.42578125" style="371"/>
  </cols>
  <sheetData>
    <row r="1" spans="1:69" ht="108" customHeight="1"/>
    <row r="2" spans="1:69">
      <c r="A2" s="374"/>
      <c r="B2" s="388" t="str">
        <f>Criterios!A9 &amp;"  "&amp;Criterios!B9</f>
        <v>Tribunales de Justicia  CATALUÑA</v>
      </c>
      <c r="C2" s="374"/>
      <c r="D2" s="374"/>
      <c r="E2" s="374"/>
      <c r="F2" s="374"/>
    </row>
    <row r="3" spans="1:69" ht="19.5">
      <c r="A3" s="389" t="s">
        <v>115</v>
      </c>
      <c r="B3" s="390" t="str">
        <f>Criterios!A10 &amp;"  "&amp;Criterios!B10</f>
        <v>Provincias  BARCELONA</v>
      </c>
      <c r="D3" s="374"/>
      <c r="E3" s="374"/>
      <c r="F3" s="374"/>
      <c r="BQ3" s="470"/>
    </row>
    <row r="4" spans="1:69" ht="13.5" thickBot="1">
      <c r="A4" s="374"/>
      <c r="B4" s="390" t="str">
        <f>Criterios!A11 &amp;"  "&amp;Criterios!B11</f>
        <v>Resumenes por Partidos Judiciales  VIC</v>
      </c>
      <c r="C4" s="374"/>
      <c r="D4" s="374"/>
      <c r="E4" s="374"/>
      <c r="F4" s="374"/>
      <c r="BQ4" s="470"/>
    </row>
    <row r="5" spans="1:69" ht="15.75" customHeight="1">
      <c r="A5" s="1197" t="str">
        <f>"Año:  " &amp;Criterios!B5 &amp; "     Trimestre   " &amp;Criterios!D5 &amp; " al " &amp;Criterios!D6</f>
        <v>Año:  2025     Trimestre   4 al 4</v>
      </c>
      <c r="B5" s="790" t="s">
        <v>116</v>
      </c>
      <c r="C5" s="1199" t="s">
        <v>128</v>
      </c>
      <c r="D5" s="1200"/>
      <c r="E5" s="1199" t="s">
        <v>92</v>
      </c>
      <c r="F5" s="1200"/>
      <c r="G5" s="1199" t="s">
        <v>9</v>
      </c>
      <c r="H5" s="1200"/>
      <c r="I5" s="1199" t="s">
        <v>129</v>
      </c>
      <c r="J5" s="1200"/>
      <c r="K5" s="1206" t="s">
        <v>742</v>
      </c>
      <c r="L5" s="1190" t="s">
        <v>786</v>
      </c>
      <c r="M5" s="1190" t="s">
        <v>845</v>
      </c>
      <c r="N5" s="1193" t="s">
        <v>741</v>
      </c>
      <c r="BQ5" s="470"/>
    </row>
    <row r="6" spans="1:69" ht="21.75" customHeight="1" thickBot="1">
      <c r="A6" s="1198"/>
      <c r="B6" s="791"/>
      <c r="C6" s="1201"/>
      <c r="D6" s="1202"/>
      <c r="E6" s="1201"/>
      <c r="F6" s="1202"/>
      <c r="G6" s="1201"/>
      <c r="H6" s="1202"/>
      <c r="I6" s="1201"/>
      <c r="J6" s="1202"/>
      <c r="K6" s="1207"/>
      <c r="L6" s="1191"/>
      <c r="M6" s="1191"/>
      <c r="N6" s="1194"/>
      <c r="BQ6" s="470"/>
    </row>
    <row r="7" spans="1:69" ht="38.25" customHeight="1" thickTop="1" thickBot="1">
      <c r="A7" s="391" t="s">
        <v>736</v>
      </c>
      <c r="B7" s="392" t="s">
        <v>117</v>
      </c>
      <c r="C7" s="393" t="s">
        <v>5</v>
      </c>
      <c r="D7" s="394" t="s">
        <v>6</v>
      </c>
      <c r="E7" s="393" t="s">
        <v>5</v>
      </c>
      <c r="F7" s="394" t="s">
        <v>6</v>
      </c>
      <c r="G7" s="393" t="s">
        <v>5</v>
      </c>
      <c r="H7" s="394" t="s">
        <v>6</v>
      </c>
      <c r="I7" s="393" t="s">
        <v>5</v>
      </c>
      <c r="J7" s="394" t="s">
        <v>6</v>
      </c>
      <c r="K7" s="1208"/>
      <c r="L7" s="1192"/>
      <c r="M7" s="1192"/>
      <c r="N7" s="1195"/>
      <c r="BQ7" s="470"/>
    </row>
    <row r="8" spans="1:69">
      <c r="A8" s="395" t="str">
        <f>Datos!A8</f>
        <v>Jurisdicción Civil ( 1 ):</v>
      </c>
      <c r="B8" s="396"/>
      <c r="C8" s="397"/>
      <c r="D8" s="398"/>
      <c r="E8" s="397"/>
      <c r="F8" s="398"/>
      <c r="G8" s="397"/>
      <c r="H8" s="398"/>
      <c r="I8" s="397"/>
      <c r="J8" s="398"/>
      <c r="K8" s="400"/>
      <c r="L8" s="1102"/>
      <c r="M8" s="400"/>
      <c r="N8" s="400"/>
    </row>
    <row r="9" spans="1:69">
      <c r="A9" s="401" t="str">
        <f>Datos!A9</f>
        <v xml:space="preserve">Jdos. 1ª Instancia   </v>
      </c>
      <c r="B9" s="402">
        <f>Datos!AO9</f>
        <v>0</v>
      </c>
      <c r="C9" s="402" t="str">
        <f>IF(ISNUMBER(IF(J_V="SI",Datos!I9,Datos!I9+Datos!Y9)),IF(J_V="SI",Datos!I9,Datos!I9+Datos!Y9)," - ")</f>
        <v xml:space="preserve"> - </v>
      </c>
      <c r="D9" s="403" t="str">
        <f>IF(ISNUMBER(C9/Datos!BH9),C9/Datos!BH9," - ")</f>
        <v xml:space="preserve"> - </v>
      </c>
      <c r="E9" s="402" t="str">
        <f>IF(ISNUMBER(IF(J_V="SI",Datos!J9,Datos!J9+Datos!Z9)),IF(J_V="SI",Datos!J9,Datos!J9+Datos!Z9)," - ")</f>
        <v xml:space="preserve"> - </v>
      </c>
      <c r="F9" s="403" t="str">
        <f>IF(ISNUMBER(E9/B9),E9/B9," - ")</f>
        <v xml:space="preserve"> - </v>
      </c>
      <c r="G9" s="402" t="str">
        <f>IF(ISNUMBER(IF(J_V="SI",Datos!K9,Datos!K9+Datos!AA9)),IF(J_V="SI",Datos!K9,Datos!K9+Datos!AA9)," - ")</f>
        <v xml:space="preserve"> - </v>
      </c>
      <c r="H9" s="403" t="str">
        <f>IF(ISNUMBER(G9/B9),G9/B9," - ")</f>
        <v xml:space="preserve"> - </v>
      </c>
      <c r="I9" s="402" t="str">
        <f>IF(ISNUMBER(IF(J_V="SI",Datos!L9,Datos!L9+Datos!AB9)),IF(J_V="SI",Datos!L9,Datos!L9+Datos!AB9)," - ")</f>
        <v xml:space="preserve"> - </v>
      </c>
      <c r="J9" s="403" t="str">
        <f>IF(ISNUMBER(I9/B9),I9/B9," - ")</f>
        <v xml:space="preserve"> - </v>
      </c>
      <c r="K9" s="404" t="str">
        <f>IF(ISNUMBER(Datos!EO9),Datos!EO9," - ")</f>
        <v xml:space="preserve"> - </v>
      </c>
      <c r="L9" s="1102" t="e">
        <f>K9*factor_trimestre/Datos!ER9</f>
        <v>#VALUE!</v>
      </c>
      <c r="M9" s="404" t="str">
        <f>IF(ISNUMBER(Datos!EP9),Datos!EP9," - ")</f>
        <v xml:space="preserve"> - </v>
      </c>
      <c r="N9" s="404" t="str">
        <f>IF(ISNUMBER(Datos!EQ9),Datos!EQ9," - ")</f>
        <v xml:space="preserve"> - </v>
      </c>
      <c r="BQ9" s="1185">
        <f>Datos!EZ9</f>
        <v>0</v>
      </c>
    </row>
    <row r="10" spans="1:69" ht="21">
      <c r="A10" s="401" t="str">
        <f>Datos!A10</f>
        <v>Jdos. Violencia contra la mujer/Secc Viol. TI.</v>
      </c>
      <c r="B10" s="402">
        <f>Datos!AO10</f>
        <v>1</v>
      </c>
      <c r="C10" s="402">
        <f>IF(ISNUMBER(Datos!I10),Datos!I10," - ")</f>
        <v>98</v>
      </c>
      <c r="D10" s="403">
        <f>IF(ISNUMBER(C10/Datos!BH10),C10/Datos!BH10," - ")</f>
        <v>98</v>
      </c>
      <c r="E10" s="402">
        <f>IF(ISNUMBER(Datos!J10),Datos!J10," - ")</f>
        <v>11</v>
      </c>
      <c r="F10" s="403">
        <f>IF(ISNUMBER(E10/B10),E10/B10," - ")</f>
        <v>11</v>
      </c>
      <c r="G10" s="402">
        <f>IF(ISNUMBER(Datos!K10),Datos!K10," - ")</f>
        <v>12</v>
      </c>
      <c r="H10" s="403">
        <f>IF(ISNUMBER(G10/B10),G10/B10," - ")</f>
        <v>12</v>
      </c>
      <c r="I10" s="402">
        <f>IF(ISNUMBER(Datos!L10),Datos!L10," - ")</f>
        <v>97</v>
      </c>
      <c r="J10" s="403">
        <f>IF(ISNUMBER(I10/B10),I10/B10," - ")</f>
        <v>97</v>
      </c>
      <c r="K10" s="404" t="str">
        <f>IF(ISNUMBER(Datos!EO10),Datos!EO10," - ")</f>
        <v xml:space="preserve"> - </v>
      </c>
      <c r="L10" s="1102" t="e">
        <f>K10*factor_trimestre/Datos!ER10</f>
        <v>#VALUE!</v>
      </c>
      <c r="M10" s="404" t="str">
        <f>IF(ISNUMBER(Datos!EP10),Datos!EP10," - ")</f>
        <v xml:space="preserve"> - </v>
      </c>
      <c r="N10" s="404" t="str">
        <f>IF(ISNUMBER(Datos!EQ10),Datos!EQ10," - ")</f>
        <v xml:space="preserve"> - </v>
      </c>
      <c r="BQ10" s="1185">
        <f>Datos!EZ10</f>
        <v>0</v>
      </c>
    </row>
    <row r="11" spans="1:69">
      <c r="A11" s="401" t="str">
        <f>Datos!A11</f>
        <v xml:space="preserve">Jdos. Familia                                   </v>
      </c>
      <c r="B11" s="402">
        <f>Datos!AO11</f>
        <v>0</v>
      </c>
      <c r="C11" s="402" t="str">
        <f>IF(ISNUMBER(IF(J_V="SI",Datos!I11,Datos!I11+Datos!Y11)),IF(J_V="SI",Datos!I11,Datos!I11+Datos!Y11)," - ")</f>
        <v xml:space="preserve"> - </v>
      </c>
      <c r="D11" s="403" t="str">
        <f>IF(ISNUMBER(C11/Datos!BH11),C11/Datos!BH11," - ")</f>
        <v xml:space="preserve"> - </v>
      </c>
      <c r="E11" s="402" t="str">
        <f>IF(ISNUMBER(IF(J_V="SI",Datos!J11,Datos!J11+Datos!Z11)),IF(J_V="SI",Datos!J11,Datos!J11+Datos!Z11)," - ")</f>
        <v xml:space="preserve"> - </v>
      </c>
      <c r="F11" s="403" t="str">
        <f>IF(ISNUMBER(E11/B11),E11/B11," - ")</f>
        <v xml:space="preserve"> - </v>
      </c>
      <c r="G11" s="402" t="str">
        <f>IF(ISNUMBER(IF(J_V="SI",Datos!K11,Datos!K11+Datos!AA11)),IF(J_V="SI",Datos!K11,Datos!K11+Datos!AA11)," - ")</f>
        <v xml:space="preserve"> - </v>
      </c>
      <c r="H11" s="403" t="str">
        <f>IF(ISNUMBER(G11/B11),G11/B11," - ")</f>
        <v xml:space="preserve"> - </v>
      </c>
      <c r="I11" s="402" t="str">
        <f>IF(ISNUMBER(IF(J_V="SI",Datos!L11,Datos!L11+Datos!AB11)),IF(J_V="SI",Datos!L11,Datos!L11+Datos!AB11)," - ")</f>
        <v xml:space="preserve"> - </v>
      </c>
      <c r="J11" s="403" t="str">
        <f>IF(ISNUMBER(I11/B11),I11/B11," - ")</f>
        <v xml:space="preserve"> - </v>
      </c>
      <c r="K11" s="404" t="str">
        <f>IF(ISNUMBER(Datos!EO11),Datos!EO11," - ")</f>
        <v xml:space="preserve"> - </v>
      </c>
      <c r="L11" s="1102" t="e">
        <f>K11*factor_trimestre/Datos!ER11</f>
        <v>#VALUE!</v>
      </c>
      <c r="M11" s="404" t="str">
        <f>IF(ISNUMBER(Datos!EP11),Datos!EP11," - ")</f>
        <v xml:space="preserve"> - </v>
      </c>
      <c r="N11" s="404" t="str">
        <f>IF(ISNUMBER(Datos!EQ11),Datos!EQ11," - ")</f>
        <v xml:space="preserve"> - </v>
      </c>
      <c r="BQ11" s="1185">
        <f>Datos!EZ11</f>
        <v>0</v>
      </c>
    </row>
    <row r="12" spans="1:69" ht="21.75" thickBot="1">
      <c r="A12" s="401" t="str">
        <f>Datos!A12</f>
        <v xml:space="preserve">Jdos. 1ª Instª. e Instr./Secc. Civil y de Inst. TI                      </v>
      </c>
      <c r="B12" s="402">
        <f>Datos!AO12</f>
        <v>6</v>
      </c>
      <c r="C12" s="402">
        <f>IF(ISNUMBER(IF(J_V="SI",Datos!I12,Datos!I12+Datos!Y12)),IF(J_V="SI",Datos!I12,Datos!I12+Datos!Y12)," - ")</f>
        <v>7013</v>
      </c>
      <c r="D12" s="403">
        <f>IF(ISNUMBER(C12/Datos!BH12),C12/Datos!BH12," - ")</f>
        <v>1168.8333333333333</v>
      </c>
      <c r="E12" s="402">
        <f>IF(ISNUMBER(IF(J_V="SI",Datos!J12,Datos!J12+Datos!Z12)),IF(J_V="SI",Datos!J12,Datos!J12+Datos!Z12)," - ")</f>
        <v>1623</v>
      </c>
      <c r="F12" s="403">
        <f>IF(ISNUMBER(E12/B12),E12/B12," - ")</f>
        <v>270.5</v>
      </c>
      <c r="G12" s="402">
        <f>IF(ISNUMBER(IF(J_V="SI",Datos!K12,Datos!K12+Datos!AA12)),IF(J_V="SI",Datos!K12,Datos!K12+Datos!AA12)," - ")</f>
        <v>2565</v>
      </c>
      <c r="H12" s="403">
        <f>IF(ISNUMBER(G12/B12),G12/B12," - ")</f>
        <v>427.5</v>
      </c>
      <c r="I12" s="402">
        <f>IF(ISNUMBER(IF(J_V="SI",Datos!L12,Datos!L12+Datos!AB12)),IF(J_V="SI",Datos!L12,Datos!L12+Datos!AB12)," - ")</f>
        <v>6071</v>
      </c>
      <c r="J12" s="403">
        <f>IF(ISNUMBER(I12/B12),I12/B12," - ")</f>
        <v>1011.8333333333334</v>
      </c>
      <c r="K12" s="404" t="str">
        <f>IF(ISNUMBER(Datos!EO12),Datos!EO12," - ")</f>
        <v xml:space="preserve"> - </v>
      </c>
      <c r="L12" s="1102" t="e">
        <f>K12*factor_trimestre/Datos!ER12</f>
        <v>#VALUE!</v>
      </c>
      <c r="M12" s="404" t="str">
        <f>IF(ISNUMBER(Datos!EP12),Datos!EP12," - ")</f>
        <v xml:space="preserve"> - </v>
      </c>
      <c r="N12" s="404" t="str">
        <f>IF(ISNUMBER(Datos!EQ12),Datos!EQ12," - ")</f>
        <v xml:space="preserve"> - </v>
      </c>
      <c r="BQ12" s="1185">
        <f>Datos!EZ12</f>
        <v>0</v>
      </c>
    </row>
    <row r="13" spans="1:69" ht="14.25" thickTop="1" thickBot="1">
      <c r="A13" s="847" t="str">
        <f>Datos!A13</f>
        <v>TOTAL</v>
      </c>
      <c r="B13" s="848">
        <f>Datos!AP13</f>
        <v>6</v>
      </c>
      <c r="C13" s="848">
        <f>SUBTOTAL(9,C8:C12)</f>
        <v>7111</v>
      </c>
      <c r="D13" s="849" t="str">
        <f>IF(ISNUMBER(C13/Datos!BI13),C13/Datos!BI13," - ")</f>
        <v xml:space="preserve"> - </v>
      </c>
      <c r="E13" s="848">
        <f>SUBTOTAL(9,E8:E12)</f>
        <v>1634</v>
      </c>
      <c r="F13" s="849">
        <f>IF(ISNUMBER(E13/B13),E13/B13," - ")</f>
        <v>272.33333333333331</v>
      </c>
      <c r="G13" s="848">
        <f>SUBTOTAL(9,G8:G12)</f>
        <v>2577</v>
      </c>
      <c r="H13" s="849">
        <f>IF(ISNUMBER(G13/B13),G13/B13," - ")</f>
        <v>429.5</v>
      </c>
      <c r="I13" s="848">
        <f>SUBTOTAL(9,I8:I12)</f>
        <v>6168</v>
      </c>
      <c r="J13" s="849">
        <f>IF(ISNUMBER(I13/B13),I13/B13," - ")</f>
        <v>1028</v>
      </c>
      <c r="K13" s="847">
        <f t="shared" ref="K13" si="0">SUBTOTAL(9,K8:K12)</f>
        <v>0</v>
      </c>
      <c r="L13" s="1101"/>
      <c r="M13" s="847">
        <f>SUBTOTAL(9,M8:M12)</f>
        <v>0</v>
      </c>
      <c r="N13" s="847">
        <f>SUBTOTAL(9,N8:N12)</f>
        <v>0</v>
      </c>
      <c r="BQ13" s="1185"/>
    </row>
    <row r="14" spans="1:69" ht="13.5" thickTop="1">
      <c r="A14" s="395" t="str">
        <f>Datos!A14</f>
        <v xml:space="preserve">Jurisdicción Penal ( 2 ):                      </v>
      </c>
      <c r="B14" s="405"/>
      <c r="C14" s="405"/>
      <c r="D14" s="406"/>
      <c r="E14" s="405"/>
      <c r="F14" s="406"/>
      <c r="G14" s="405"/>
      <c r="H14" s="406"/>
      <c r="I14" s="405"/>
      <c r="J14" s="406"/>
      <c r="K14" s="405"/>
      <c r="L14" s="1102"/>
      <c r="M14" s="407"/>
      <c r="N14" s="408"/>
      <c r="BQ14" s="1185">
        <f>Datos!EZ14</f>
        <v>0</v>
      </c>
    </row>
    <row r="15" spans="1:69">
      <c r="A15" s="401" t="str">
        <f>Datos!A15</f>
        <v xml:space="preserve">Jdos. Instrucción                               </v>
      </c>
      <c r="B15" s="402">
        <f>Datos!AO15</f>
        <v>0</v>
      </c>
      <c r="C15" s="402" t="str">
        <f>IF(ISNUMBER(IF(D_I="SI",Datos!I15,Datos!I15+Datos!AC15)),IF(D_I="SI",Datos!I15,Datos!I15+Datos!AC15)," - ")</f>
        <v xml:space="preserve"> - </v>
      </c>
      <c r="D15" s="403" t="str">
        <f>IF(ISNUMBER(C15/Datos!BH15),C15/Datos!BH15," - ")</f>
        <v xml:space="preserve"> - </v>
      </c>
      <c r="E15" s="402" t="str">
        <f>IF(ISNUMBER(IF(D_I="SI",Datos!J15,Datos!J15+Datos!AD15)),IF(D_I="SI",Datos!J15,Datos!J15+Datos!AD15)," - ")</f>
        <v xml:space="preserve"> - </v>
      </c>
      <c r="F15" s="403" t="str">
        <f>IF(ISNUMBER(E15/B15),E15/B15," - ")</f>
        <v xml:space="preserve"> - </v>
      </c>
      <c r="G15" s="402" t="str">
        <f>IF(ISNUMBER(IF(D_I="SI",Datos!K15,Datos!K15+Datos!AE15)),IF(D_I="SI",Datos!K15,Datos!K15+Datos!AE15)," - ")</f>
        <v xml:space="preserve"> - </v>
      </c>
      <c r="H15" s="403" t="str">
        <f>IF(ISNUMBER(G15/B15),G15/B15," - ")</f>
        <v xml:space="preserve"> - </v>
      </c>
      <c r="I15" s="402" t="str">
        <f>IF(ISNUMBER(IF(D_I="SI",Datos!L15,Datos!L15+Datos!AF15)),IF(D_I="SI",Datos!L15,Datos!L15+Datos!AF15)," - ")</f>
        <v xml:space="preserve"> - </v>
      </c>
      <c r="J15" s="403" t="str">
        <f>IF(ISNUMBER(I15/B15),I15/B15," - ")</f>
        <v xml:space="preserve"> - </v>
      </c>
      <c r="K15" s="1099" t="str">
        <f>IF(ISNUMBER(Datos!EO15),Datos!EO15," - ")</f>
        <v xml:space="preserve"> - </v>
      </c>
      <c r="L15" s="1102" t="e">
        <f>K15*factor_trimestre/Datos!ER15</f>
        <v>#VALUE!</v>
      </c>
      <c r="M15" s="1100" t="str">
        <f>IF(ISNUMBER(Datos!EP15),Datos!EP15," - ")</f>
        <v xml:space="preserve"> - </v>
      </c>
      <c r="N15" s="404" t="str">
        <f>IF(ISNUMBER(Datos!EQ15),Datos!EQ15," - ")</f>
        <v xml:space="preserve"> - </v>
      </c>
      <c r="BQ15" s="1185">
        <f>Datos!EZ15</f>
        <v>0</v>
      </c>
    </row>
    <row r="16" spans="1:69" ht="21">
      <c r="A16" s="401" t="str">
        <f>Datos!A16</f>
        <v xml:space="preserve">Jdos. 1ª Instª. e Instr./Secc. Civil y de Inst. TI                      </v>
      </c>
      <c r="B16" s="402">
        <f>Datos!AO16</f>
        <v>6</v>
      </c>
      <c r="C16" s="402">
        <f>IF(ISNUMBER(IF(D_I="SI",Datos!I16,Datos!I16+Datos!AC16)),IF(D_I="SI",Datos!I16,Datos!I16+Datos!AC16)," - ")</f>
        <v>3362</v>
      </c>
      <c r="D16" s="403">
        <f>IF(ISNUMBER(C16/Datos!BH16),C16/Datos!BH16," - ")</f>
        <v>560.33333333333337</v>
      </c>
      <c r="E16" s="402">
        <f>IF(ISNUMBER(IF(D_I="SI",Datos!J16,Datos!J16+Datos!AD16)),IF(D_I="SI",Datos!J16,Datos!J16+Datos!AD16)," - ")</f>
        <v>1795</v>
      </c>
      <c r="F16" s="403">
        <f>IF(ISNUMBER(E16/B16),E16/B16," - ")</f>
        <v>299.16666666666669</v>
      </c>
      <c r="G16" s="402">
        <f>IF(ISNUMBER(IF(D_I="SI",Datos!K16,Datos!K16+Datos!AE16)),IF(D_I="SI",Datos!K16,Datos!K16+Datos!AE16)," - ")</f>
        <v>1556</v>
      </c>
      <c r="H16" s="403">
        <f>IF(ISNUMBER(G16/B16),G16/B16," - ")</f>
        <v>259.33333333333331</v>
      </c>
      <c r="I16" s="402">
        <f>IF(ISNUMBER(IF(D_I="SI",Datos!L16,Datos!L16+Datos!AF16)),IF(D_I="SI",Datos!L16,Datos!L16+Datos!AF16)," - ")</f>
        <v>3347</v>
      </c>
      <c r="J16" s="403">
        <f>IF(ISNUMBER(I16/B16),I16/B16," - ")</f>
        <v>557.83333333333337</v>
      </c>
      <c r="K16" s="1099" t="str">
        <f>IF(ISNUMBER(Datos!EO16),Datos!EO16," - ")</f>
        <v xml:space="preserve"> - </v>
      </c>
      <c r="L16" s="1102" t="e">
        <f>K16*factor_trimestre/Datos!ER16</f>
        <v>#VALUE!</v>
      </c>
      <c r="M16" s="1100" t="str">
        <f>IF(ISNUMBER(Datos!EP16),Datos!EP16," - ")</f>
        <v xml:space="preserve"> - </v>
      </c>
      <c r="N16" s="404" t="str">
        <f>IF(ISNUMBER(Datos!EQ16),Datos!EQ16," - ")</f>
        <v xml:space="preserve"> - </v>
      </c>
      <c r="BQ16" s="1185">
        <f>Datos!EZ16</f>
        <v>0</v>
      </c>
    </row>
    <row r="17" spans="1:69" ht="21.75" thickBot="1">
      <c r="A17" s="401" t="str">
        <f>Datos!A17</f>
        <v>Jdos. Violencia contra la mujer/Secc Viol. TI.</v>
      </c>
      <c r="B17" s="402">
        <f>Datos!AO17</f>
        <v>1</v>
      </c>
      <c r="C17" s="402">
        <f>IF(ISNUMBER(IF(D_I="SI",Datos!I17,Datos!I17+Datos!AC17)),IF(D_I="SI",Datos!I17,Datos!I17+Datos!AC17)," - ")</f>
        <v>75</v>
      </c>
      <c r="D17" s="403">
        <f>IF(ISNUMBER(C17/Datos!BH17),C17/Datos!BH17," - ")</f>
        <v>75</v>
      </c>
      <c r="E17" s="402">
        <f>IF(ISNUMBER(IF(D_I="SI",Datos!J17,Datos!J17+Datos!AD17)),IF(D_I="SI",Datos!J17,Datos!J17+Datos!AD17)," - ")</f>
        <v>106</v>
      </c>
      <c r="F17" s="403">
        <f>IF(ISNUMBER(E17/B17),E17/B17," - ")</f>
        <v>106</v>
      </c>
      <c r="G17" s="402">
        <f>IF(ISNUMBER(IF(D_I="SI",Datos!K17,Datos!K17+Datos!AE17)),IF(D_I="SI",Datos!K17,Datos!K17+Datos!AE17)," - ")</f>
        <v>132</v>
      </c>
      <c r="H17" s="403">
        <f>IF(ISNUMBER(G17/B17),G17/B17," - ")</f>
        <v>132</v>
      </c>
      <c r="I17" s="402">
        <f>IF(ISNUMBER(IF(D_I="SI",Datos!L17,Datos!L17+Datos!AF17)),IF(D_I="SI",Datos!L17,Datos!L17+Datos!AF17)," - ")</f>
        <v>49</v>
      </c>
      <c r="J17" s="403">
        <f>IF(ISNUMBER(I17/B17),I17/B17," - ")</f>
        <v>49</v>
      </c>
      <c r="K17" s="1099" t="str">
        <f>IF(ISNUMBER(Datos!EO17),Datos!EO17," - ")</f>
        <v xml:space="preserve"> - </v>
      </c>
      <c r="L17" s="1102" t="e">
        <f>K17*factor_trimestre/Datos!ER17</f>
        <v>#VALUE!</v>
      </c>
      <c r="M17" s="1100" t="str">
        <f>IF(ISNUMBER(Datos!EP17),Datos!EP17," - ")</f>
        <v xml:space="preserve"> - </v>
      </c>
      <c r="N17" s="404" t="str">
        <f>IF(ISNUMBER(Datos!EQ17),Datos!EQ17," - ")</f>
        <v xml:space="preserve"> - </v>
      </c>
      <c r="BQ17" s="1185">
        <f>Datos!EZ17</f>
        <v>0</v>
      </c>
    </row>
    <row r="18" spans="1:69" ht="14.25" thickTop="1" thickBot="1">
      <c r="A18" s="847" t="str">
        <f>Datos!A18</f>
        <v>TOTAL</v>
      </c>
      <c r="B18" s="848">
        <f>Datos!AP18</f>
        <v>6</v>
      </c>
      <c r="C18" s="848">
        <f>SUBTOTAL(9,C14:C17)</f>
        <v>3437</v>
      </c>
      <c r="D18" s="849" t="str">
        <f>IF(ISNUMBER(C18/Datos!BI18),C18/Datos!BI18," - ")</f>
        <v xml:space="preserve"> - </v>
      </c>
      <c r="E18" s="848">
        <f>SUBTOTAL(9,E14:E17)</f>
        <v>1901</v>
      </c>
      <c r="F18" s="849">
        <f>IF(ISNUMBER(E18/B18),E18/B18," - ")</f>
        <v>316.83333333333331</v>
      </c>
      <c r="G18" s="848">
        <f>SUBTOTAL(9,G14:G17)</f>
        <v>1688</v>
      </c>
      <c r="H18" s="849">
        <f>IF(ISNUMBER(G18/B18),G18/B18," - ")</f>
        <v>281.33333333333331</v>
      </c>
      <c r="I18" s="848">
        <f>SUBTOTAL(9,I14:I17)</f>
        <v>3396</v>
      </c>
      <c r="J18" s="849">
        <f>IF(ISNUMBER(I18/B18),I18/B18," - ")</f>
        <v>566</v>
      </c>
      <c r="K18" s="847">
        <f t="shared" ref="K18" si="1">SUBTOTAL(9,K14:K17)</f>
        <v>0</v>
      </c>
      <c r="L18" s="847"/>
      <c r="M18" s="847">
        <f>SUBTOTAL(9,M14:M17)</f>
        <v>0</v>
      </c>
      <c r="N18" s="847">
        <f>SUBTOTAL(9,N14:N17)</f>
        <v>0</v>
      </c>
      <c r="BQ18" s="1185"/>
    </row>
    <row r="19" spans="1:69" ht="16.5" customHeight="1" thickTop="1" thickBot="1">
      <c r="A19" s="792" t="str">
        <f>Datos!A19</f>
        <v>TOTAL JURISDICCIONES</v>
      </c>
      <c r="B19" s="793">
        <f>Datos!AP19</f>
        <v>6</v>
      </c>
      <c r="C19" s="793">
        <f>SUBTOTAL(9,C9:C18)</f>
        <v>10548</v>
      </c>
      <c r="D19" s="794" t="str">
        <f>IF(ISNUMBER(C19/Datos!BI19),C19/Datos!BI19," - ")</f>
        <v xml:space="preserve"> - </v>
      </c>
      <c r="E19" s="793">
        <f>SUBTOTAL(9,E9:E18)</f>
        <v>3535</v>
      </c>
      <c r="F19" s="794">
        <f>IF(ISNUMBER(E19/B19),E19/B19," - ")</f>
        <v>589.16666666666663</v>
      </c>
      <c r="G19" s="793">
        <f>SUBTOTAL(9,G9:G18)</f>
        <v>4265</v>
      </c>
      <c r="H19" s="794">
        <f>IF(ISNUMBER(G19/B19),G19/B19," - ")</f>
        <v>710.83333333333337</v>
      </c>
      <c r="I19" s="793">
        <f>SUBTOTAL(9,I9:I18)</f>
        <v>9564</v>
      </c>
      <c r="J19" s="794">
        <f>IF(ISNUMBER(I19/B19),I19/B19," - ")</f>
        <v>1594</v>
      </c>
      <c r="K19" s="795">
        <f t="shared" ref="K19" si="2">SUBTOTAL(9,K9:K18)</f>
        <v>0</v>
      </c>
      <c r="L19" s="795"/>
      <c r="M19" s="795">
        <f>SUBTOTAL(9,M9:M18)</f>
        <v>0</v>
      </c>
      <c r="N19" s="795">
        <f>SUBTOTAL(9,N9:N18)</f>
        <v>0</v>
      </c>
    </row>
    <row r="20" spans="1:69">
      <c r="A20" s="410" t="str">
        <f>IF(J_V="NO","(1) Incluida Jurisdicción Voluntaria","(1) Excluída Jurisdicción Voluntaria")</f>
        <v>(1) Incluida Jurisdicción Voluntaria</v>
      </c>
      <c r="B20" s="411"/>
    </row>
    <row r="21" spans="1:69">
      <c r="A21" s="410" t="str">
        <f>IF(D_I="NO","(2) Incluídas Diligencias Indeterminadas","(2) Excluídas Diligencias Indeterminadas")</f>
        <v>(2) Excluídas Diligencias Indeterminadas</v>
      </c>
      <c r="B21" s="410"/>
    </row>
    <row r="22" spans="1:69">
      <c r="A22" s="1196"/>
      <c r="B22" s="1196"/>
    </row>
    <row r="23" spans="1:69">
      <c r="A23" s="390" t="str">
        <f>Criterios!A4</f>
        <v>Fecha Informe: 17 mar. 2026</v>
      </c>
    </row>
    <row r="27" spans="1:69">
      <c r="A27" s="413"/>
    </row>
  </sheetData>
  <sheetProtection algorithmName="SHA-512" hashValue="Q+0TtRV4YKdI+TpRamnVvVfUmAM3WnSAzfRmjgQayMkJQhUMFkBf/ypB4Yc76b/ho43awrdG92bDB68VkPYQjg==" saltValue="PNJmBhJ4kPEwl0Wfo3VHwA==" spinCount="100000" sheet="1" objects="1" scenarios="1"/>
  <mergeCells count="10">
    <mergeCell ref="M5:M7"/>
    <mergeCell ref="N5:N7"/>
    <mergeCell ref="A22:B22"/>
    <mergeCell ref="A5:A6"/>
    <mergeCell ref="C5:D6"/>
    <mergeCell ref="E5:F6"/>
    <mergeCell ref="G5:H6"/>
    <mergeCell ref="L5:L7"/>
    <mergeCell ref="I5:J6"/>
    <mergeCell ref="K5:K7"/>
  </mergeCells>
  <phoneticPr fontId="0" type="noConversion"/>
  <printOptions horizontalCentered="1"/>
  <pageMargins left="0.74803149606299213" right="0.74803149606299213" top="0.98425196850393704" bottom="0.39370078740157483" header="0" footer="0"/>
  <pageSetup paperSize="9" scale="45" orientation="landscape" r:id="rId1"/>
  <headerFooter alignWithMargins="0">
    <oddFooter>&amp;CPágina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indexed="47"/>
    <pageSetUpPr fitToPage="1"/>
  </sheetPr>
  <dimension ref="A1:P27"/>
  <sheetViews>
    <sheetView zoomScale="85" zoomScaleNormal="85" workbookViewId="0"/>
  </sheetViews>
  <sheetFormatPr baseColWidth="10" defaultColWidth="11.42578125" defaultRowHeight="12.75"/>
  <cols>
    <col min="1" max="1" width="33.5703125" style="371" customWidth="1"/>
    <col min="2" max="2" width="11.28515625" style="371" customWidth="1"/>
    <col min="3" max="3" width="11" style="371" customWidth="1"/>
    <col min="4" max="4" width="9.42578125" style="371" hidden="1" customWidth="1"/>
    <col min="5" max="5" width="9.7109375" style="371" hidden="1" customWidth="1"/>
    <col min="6" max="6" width="13" style="371" hidden="1" customWidth="1"/>
    <col min="7" max="7" width="14.85546875" style="371" customWidth="1"/>
    <col min="8" max="8" width="15.140625" style="371" customWidth="1"/>
    <col min="9" max="9" width="12.7109375" style="371" customWidth="1"/>
    <col min="10" max="10" width="13" style="371" bestFit="1" customWidth="1"/>
    <col min="11" max="11" width="10.5703125" style="371" customWidth="1"/>
    <col min="12" max="12" width="13" style="371" customWidth="1"/>
    <col min="13" max="16" width="11.42578125" style="374"/>
    <col min="17" max="16384" width="11.42578125" style="371"/>
  </cols>
  <sheetData>
    <row r="1" spans="1:15" ht="108" customHeight="1"/>
    <row r="2" spans="1:15">
      <c r="A2" s="374"/>
      <c r="B2" s="388" t="str">
        <f>Criterios!A9 &amp;"  "&amp;Criterios!B9</f>
        <v>Tribunales de Justicia  CATALUÑA</v>
      </c>
      <c r="C2" s="374"/>
      <c r="E2" s="374"/>
      <c r="F2" s="374"/>
      <c r="G2" s="374"/>
      <c r="H2" s="374"/>
    </row>
    <row r="3" spans="1:15" ht="39">
      <c r="A3" s="414" t="s">
        <v>218</v>
      </c>
      <c r="B3" s="390" t="str">
        <f>Criterios!A10 &amp;"  "&amp;Criterios!B10</f>
        <v>Provincias  BARCELONA</v>
      </c>
      <c r="C3" s="414"/>
      <c r="F3" s="374"/>
      <c r="G3" s="374"/>
      <c r="H3" s="374"/>
    </row>
    <row r="4" spans="1:15" ht="13.5" thickBot="1">
      <c r="A4" s="374"/>
      <c r="B4" s="390" t="str">
        <f>Criterios!A11 &amp;"  "&amp;Criterios!B11</f>
        <v>Resumenes por Partidos Judiciales  VIC</v>
      </c>
      <c r="C4" s="374"/>
      <c r="E4" s="374"/>
      <c r="F4" s="374"/>
      <c r="G4" s="374"/>
      <c r="H4" s="374"/>
    </row>
    <row r="5" spans="1:15" ht="15.75" customHeight="1">
      <c r="A5" s="1209" t="str">
        <f>"Año:  " &amp;Criterios!B5</f>
        <v>Año:  2025</v>
      </c>
      <c r="B5" s="1199" t="s">
        <v>205</v>
      </c>
      <c r="C5" s="1212"/>
      <c r="D5" s="1199" t="s">
        <v>222</v>
      </c>
      <c r="E5" s="1217"/>
      <c r="F5" s="1212"/>
      <c r="G5" s="1199" t="s">
        <v>207</v>
      </c>
      <c r="H5" s="1200"/>
      <c r="I5" s="1199" t="s">
        <v>208</v>
      </c>
      <c r="J5" s="1200"/>
      <c r="K5" s="1199" t="s">
        <v>209</v>
      </c>
      <c r="L5" s="1211"/>
      <c r="M5" s="1212"/>
    </row>
    <row r="6" spans="1:15" ht="21.75" customHeight="1" thickBot="1">
      <c r="A6" s="1210"/>
      <c r="B6" s="1215"/>
      <c r="C6" s="1216"/>
      <c r="D6" s="1218"/>
      <c r="E6" s="1219"/>
      <c r="F6" s="1220"/>
      <c r="G6" s="1201"/>
      <c r="H6" s="1202"/>
      <c r="I6" s="1201"/>
      <c r="J6" s="1202"/>
      <c r="K6" s="1201"/>
      <c r="L6" s="1213"/>
      <c r="M6" s="1214"/>
    </row>
    <row r="7" spans="1:15" ht="38.25" customHeight="1" thickTop="1" thickBot="1">
      <c r="A7" s="391" t="str">
        <f>Datos!A7</f>
        <v>COMPETENCIAS</v>
      </c>
      <c r="B7" s="415" t="s">
        <v>107</v>
      </c>
      <c r="C7" s="415" t="s">
        <v>206</v>
      </c>
      <c r="D7" s="415" t="s">
        <v>107</v>
      </c>
      <c r="E7" s="415" t="s">
        <v>206</v>
      </c>
      <c r="F7" s="394" t="s">
        <v>6</v>
      </c>
      <c r="G7" s="415" t="s">
        <v>107</v>
      </c>
      <c r="H7" s="415" t="s">
        <v>210</v>
      </c>
      <c r="I7" s="415" t="s">
        <v>107</v>
      </c>
      <c r="J7" s="415" t="s">
        <v>210</v>
      </c>
      <c r="K7" s="415" t="s">
        <v>107</v>
      </c>
      <c r="L7" s="416" t="s">
        <v>210</v>
      </c>
      <c r="M7" s="416" t="s">
        <v>219</v>
      </c>
    </row>
    <row r="8" spans="1:15">
      <c r="A8" s="395" t="str">
        <f>Datos!A8</f>
        <v>Jurisdicción Civil ( 1 ):</v>
      </c>
      <c r="B8" s="417"/>
      <c r="C8" s="417"/>
      <c r="D8" s="396"/>
      <c r="E8" s="397"/>
      <c r="F8" s="398"/>
      <c r="G8" s="397"/>
      <c r="H8" s="398"/>
      <c r="I8" s="397"/>
      <c r="J8" s="398"/>
      <c r="K8" s="397"/>
      <c r="L8" s="398"/>
      <c r="M8" s="418"/>
    </row>
    <row r="9" spans="1:15">
      <c r="A9" s="401" t="str">
        <f>Datos!A9</f>
        <v xml:space="preserve">Jdos. 1ª Instancia   </v>
      </c>
      <c r="B9" s="402">
        <f>Datos!BL9</f>
        <v>0</v>
      </c>
      <c r="C9" s="402">
        <f>Datos!AR9</f>
        <v>0</v>
      </c>
      <c r="D9" s="402">
        <f>Datos!BK9</f>
        <v>0</v>
      </c>
      <c r="E9" s="402">
        <f>Datos!AQ9</f>
        <v>0</v>
      </c>
      <c r="F9" s="403" t="str">
        <f>IF(ISNUMBER(E9/Datos!BH9),E9/Datos!BH9," - ")</f>
        <v xml:space="preserve"> - </v>
      </c>
      <c r="G9" s="402" t="str">
        <f>IF(ISNUMBER(Datos!BJ9),Datos!BJ9," - ")</f>
        <v xml:space="preserve"> - </v>
      </c>
      <c r="H9" s="402" t="str">
        <f>IF(ISNUMBER(Datos!AS9),Datos!AS9," - ")</f>
        <v xml:space="preserve"> - </v>
      </c>
      <c r="I9" s="403" t="str">
        <f>IF(ISNUMBER(G9/D9),G9/D9," - ")</f>
        <v xml:space="preserve"> - </v>
      </c>
      <c r="J9" s="403" t="str">
        <f>IF(ISNUMBER(H9/E9),H9/E9," - ")</f>
        <v xml:space="preserve"> - </v>
      </c>
      <c r="K9" s="419" t="str">
        <f>IF(AND(ISNUMBER(I9/Datos!ER9),(G9&lt;&gt;0)),((I9-Datos!ER9)/Datos!ER9)," - ")</f>
        <v xml:space="preserve"> - </v>
      </c>
      <c r="L9" s="419" t="str">
        <f>IF(AND(ISNUMBER(J9/Datos!ER9),(H9&lt;&gt;0)),((J9-Datos!ER9)/Datos!ER9)," - ")</f>
        <v xml:space="preserve"> - </v>
      </c>
      <c r="M9" s="420">
        <f>IF(EXACT(Datos!ER9,""),"-",Datos!ER9)</f>
        <v>1200</v>
      </c>
      <c r="O9" s="421"/>
    </row>
    <row r="10" spans="1:15" ht="21">
      <c r="A10" s="401" t="str">
        <f>Datos!A10</f>
        <v>Jdos. Violencia contra la mujer/Secc Viol. TI.</v>
      </c>
      <c r="B10" s="402">
        <f>Datos!BL10</f>
        <v>0</v>
      </c>
      <c r="C10" s="402">
        <f>Datos!AR10</f>
        <v>0</v>
      </c>
      <c r="D10" s="402">
        <f>Datos!BK10</f>
        <v>0</v>
      </c>
      <c r="E10" s="402">
        <f>Datos!AQ10</f>
        <v>0</v>
      </c>
      <c r="F10" s="403">
        <f>IF(ISNUMBER(E10/Datos!BH10),E10/Datos!BH10," - ")</f>
        <v>0</v>
      </c>
      <c r="G10" s="402" t="str">
        <f>IF(ISNUMBER(Datos!BJ10),Datos!BJ10," - ")</f>
        <v xml:space="preserve"> - </v>
      </c>
      <c r="H10" s="402" t="str">
        <f>IF(ISNUMBER(Datos!AS10),Datos!AS10," - ")</f>
        <v xml:space="preserve"> - </v>
      </c>
      <c r="I10" s="403" t="str">
        <f t="shared" ref="I10:I12" si="0">IF(ISNUMBER(G10/D10),G10/D10," - ")</f>
        <v xml:space="preserve"> - </v>
      </c>
      <c r="J10" s="403" t="str">
        <f t="shared" ref="J10:J12" si="1">IF(ISNUMBER(H10/E10),H10/E10," - ")</f>
        <v xml:space="preserve"> - </v>
      </c>
      <c r="K10" s="419" t="str">
        <f>IF(AND(ISNUMBER(I10/Datos!ER10),(G10&lt;&gt;0)),((I10-Datos!ER10)/Datos!ER10)," - ")</f>
        <v xml:space="preserve"> - </v>
      </c>
      <c r="L10" s="419" t="str">
        <f>IF(AND(ISNUMBER(J10/Datos!ER10),(H10&lt;&gt;0)),((J10-Datos!ER10)/Datos!ER10)," - ")</f>
        <v xml:space="preserve"> - </v>
      </c>
      <c r="M10" s="420">
        <f>IF(EXACT(Datos!ER10,""),"-",Datos!ER10)</f>
        <v>1600</v>
      </c>
    </row>
    <row r="11" spans="1:15">
      <c r="A11" s="401" t="str">
        <f>Datos!A11</f>
        <v xml:space="preserve">Jdos. Familia                                   </v>
      </c>
      <c r="B11" s="402">
        <f>Datos!BL11</f>
        <v>0</v>
      </c>
      <c r="C11" s="402">
        <f>Datos!AR11</f>
        <v>0</v>
      </c>
      <c r="D11" s="402">
        <f>Datos!BK11</f>
        <v>0</v>
      </c>
      <c r="E11" s="402">
        <f>Datos!AQ11</f>
        <v>0</v>
      </c>
      <c r="F11" s="403" t="str">
        <f>IF(ISNUMBER(E11/Datos!BH11),E11/Datos!BH11," - ")</f>
        <v xml:space="preserve"> - </v>
      </c>
      <c r="G11" s="402" t="str">
        <f>IF(ISNUMBER(Datos!BJ11),Datos!BJ11," - ")</f>
        <v xml:space="preserve"> - </v>
      </c>
      <c r="H11" s="402" t="str">
        <f>IF(ISNUMBER(Datos!AS11),Datos!AS11," - ")</f>
        <v xml:space="preserve"> - </v>
      </c>
      <c r="I11" s="403" t="str">
        <f t="shared" si="0"/>
        <v xml:space="preserve"> - </v>
      </c>
      <c r="J11" s="403" t="str">
        <f t="shared" si="1"/>
        <v xml:space="preserve"> - </v>
      </c>
      <c r="K11" s="419" t="str">
        <f>IF(AND(ISNUMBER(I11/Datos!ER11),(G11&lt;&gt;0)),((I11-Datos!ER11)/Datos!ER11)," - ")</f>
        <v xml:space="preserve"> - </v>
      </c>
      <c r="L11" s="419" t="str">
        <f>IF(AND(ISNUMBER(J11/Datos!ER11),(H11&lt;&gt;0)),((J11-Datos!ER11)/Datos!ER11)," - ")</f>
        <v xml:space="preserve"> - </v>
      </c>
      <c r="M11" s="420">
        <f>IF(EXACT(Datos!ER11,""),"-",Datos!ER11)</f>
        <v>1323</v>
      </c>
    </row>
    <row r="12" spans="1:15" ht="21.75" thickBot="1">
      <c r="A12" s="401" t="str">
        <f>Datos!A12</f>
        <v xml:space="preserve">Jdos. 1ª Instª. e Instr./Secc. Civil y de Inst. TI                      </v>
      </c>
      <c r="B12" s="402">
        <f>Datos!BL12</f>
        <v>0</v>
      </c>
      <c r="C12" s="402">
        <f>Datos!AR12</f>
        <v>6</v>
      </c>
      <c r="D12" s="402">
        <f>Datos!BK12</f>
        <v>0</v>
      </c>
      <c r="E12" s="402">
        <f>Datos!AQ12</f>
        <v>6</v>
      </c>
      <c r="F12" s="403">
        <f>IF(ISNUMBER(E12/Datos!BH12),E12/Datos!BH12," - ")</f>
        <v>1</v>
      </c>
      <c r="G12" s="402" t="str">
        <f>IF(ISNUMBER(Datos!BJ12),Datos!BJ12," - ")</f>
        <v xml:space="preserve"> - </v>
      </c>
      <c r="H12" s="402" t="str">
        <f>IF(ISNUMBER(Datos!AS12),Datos!AS12," - ")</f>
        <v xml:space="preserve"> - </v>
      </c>
      <c r="I12" s="403" t="str">
        <f t="shared" si="0"/>
        <v xml:space="preserve"> - </v>
      </c>
      <c r="J12" s="403" t="str">
        <f t="shared" si="1"/>
        <v xml:space="preserve"> - </v>
      </c>
      <c r="K12" s="419" t="str">
        <f>IF(AND(ISNUMBER(I12/Datos!ER12),(G12&lt;&gt;0)),((I12-Datos!ER12)/Datos!ER12)," - ")</f>
        <v xml:space="preserve"> - </v>
      </c>
      <c r="L12" s="419" t="str">
        <f>IF(AND(ISNUMBER(J12/Datos!ER12),(H12&lt;&gt;0)),((J12-Datos!ER12)/Datos!ER12)," - ")</f>
        <v xml:space="preserve"> - </v>
      </c>
      <c r="M12" s="420">
        <f>IF(EXACT(Datos!ER12,""),"-",Datos!ER12)</f>
        <v>680</v>
      </c>
    </row>
    <row r="13" spans="1:15" ht="14.25" thickTop="1" thickBot="1">
      <c r="A13" s="847"/>
      <c r="B13" s="851"/>
      <c r="C13" s="851"/>
      <c r="D13" s="848"/>
      <c r="E13" s="848"/>
      <c r="F13" s="849"/>
      <c r="G13" s="848"/>
      <c r="H13" s="849"/>
      <c r="I13" s="848"/>
      <c r="J13" s="849"/>
      <c r="K13" s="848"/>
      <c r="L13" s="849"/>
      <c r="M13" s="849"/>
    </row>
    <row r="14" spans="1:15" ht="13.5" thickTop="1">
      <c r="A14" s="395" t="str">
        <f>Datos!A14</f>
        <v xml:space="preserve">Jurisdicción Penal ( 2 ):                      </v>
      </c>
      <c r="B14" s="417"/>
      <c r="C14" s="417"/>
      <c r="D14" s="405"/>
      <c r="E14" s="405"/>
      <c r="F14" s="406"/>
      <c r="G14" s="405"/>
      <c r="H14" s="406"/>
      <c r="I14" s="405"/>
      <c r="J14" s="406"/>
      <c r="K14" s="405"/>
      <c r="L14" s="406"/>
      <c r="M14" s="422"/>
    </row>
    <row r="15" spans="1:15">
      <c r="A15" s="401" t="str">
        <f>Datos!A15</f>
        <v xml:space="preserve">Jdos. Instrucción                               </v>
      </c>
      <c r="B15" s="402">
        <f>Datos!BL15</f>
        <v>0</v>
      </c>
      <c r="C15" s="402">
        <f>Datos!AR15</f>
        <v>0</v>
      </c>
      <c r="D15" s="402">
        <f>Datos!BK15</f>
        <v>0</v>
      </c>
      <c r="E15" s="402">
        <f>Datos!AQ15</f>
        <v>0</v>
      </c>
      <c r="F15" s="403" t="str">
        <f>IF(ISNUMBER(E15/Datos!BH15),E15/Datos!BH15," - ")</f>
        <v xml:space="preserve"> - </v>
      </c>
      <c r="G15" s="402" t="str">
        <f>IF(ISNUMBER(Datos!BJ15),Datos!BJ15," - ")</f>
        <v xml:space="preserve"> - </v>
      </c>
      <c r="H15" s="402" t="str">
        <f>IF(ISNUMBER(Datos!AS15),Datos!AS15," - ")</f>
        <v xml:space="preserve"> - </v>
      </c>
      <c r="I15" s="403" t="str">
        <f t="shared" ref="I15:I17" si="2">IF(ISNUMBER(G15/D15),G15/D15," - ")</f>
        <v xml:space="preserve"> - </v>
      </c>
      <c r="J15" s="403" t="str">
        <f t="shared" ref="J15:J17" si="3">IF(ISNUMBER(H15/E15),H15/E15," - ")</f>
        <v xml:space="preserve"> - </v>
      </c>
      <c r="K15" s="419" t="str">
        <f>IF(AND(ISNUMBER(I15/Datos!ER15),(G15&lt;&gt;0)),((I15-Datos!ER15)/Datos!ER15)," - ")</f>
        <v xml:space="preserve"> - </v>
      </c>
      <c r="L15" s="419" t="str">
        <f>IF(AND(ISNUMBER(J15/Datos!ER15),(H15&lt;&gt;0)),((J15-Datos!ER15)/Datos!ER15)," - ")</f>
        <v xml:space="preserve"> - </v>
      </c>
      <c r="M15" s="420">
        <f>IF(EXACT(Datos!ER15,""),"-",Datos!ER15)</f>
        <v>3300</v>
      </c>
    </row>
    <row r="16" spans="1:15" ht="21">
      <c r="A16" s="401" t="str">
        <f>Datos!A16</f>
        <v xml:space="preserve">Jdos. 1ª Instª. e Instr./Secc. Civil y de Inst. TI                      </v>
      </c>
      <c r="B16" s="402">
        <f>Datos!BL16</f>
        <v>0</v>
      </c>
      <c r="C16" s="402">
        <f>Datos!AR16</f>
        <v>6</v>
      </c>
      <c r="D16" s="402">
        <f>Datos!BK16</f>
        <v>0</v>
      </c>
      <c r="E16" s="402">
        <f>Datos!AQ16</f>
        <v>6</v>
      </c>
      <c r="F16" s="403">
        <f>IF(ISNUMBER(E16/Datos!BH16),E16/Datos!BH16," - ")</f>
        <v>1</v>
      </c>
      <c r="G16" s="402" t="str">
        <f>IF(ISNUMBER(Datos!BJ16),Datos!BJ16," - ")</f>
        <v xml:space="preserve"> - </v>
      </c>
      <c r="H16" s="402" t="str">
        <f>IF(ISNUMBER(Datos!AS16),Datos!AS16," - ")</f>
        <v xml:space="preserve"> - </v>
      </c>
      <c r="I16" s="403" t="str">
        <f t="shared" si="2"/>
        <v xml:space="preserve"> - </v>
      </c>
      <c r="J16" s="403" t="str">
        <f t="shared" si="3"/>
        <v xml:space="preserve"> - </v>
      </c>
      <c r="K16" s="419" t="str">
        <f>IF(AND(ISNUMBER(I16/Datos!ER16),(G16&lt;&gt;0)),((I16-Datos!ER16)/Datos!ER16)," - ")</f>
        <v xml:space="preserve"> - </v>
      </c>
      <c r="L16" s="419" t="str">
        <f>IF(AND(ISNUMBER(J16/Datos!ER16),(H16&lt;&gt;0)),((J16-Datos!ER16)/Datos!ER16)," - ")</f>
        <v xml:space="preserve"> - </v>
      </c>
      <c r="M16" s="420">
        <f>IF(EXACT(Datos!ER16,""),"-",Datos!ER16)</f>
        <v>1000</v>
      </c>
    </row>
    <row r="17" spans="1:13" ht="21.75" thickBot="1">
      <c r="A17" s="401" t="str">
        <f>Datos!A17</f>
        <v>Jdos. Violencia contra la mujer/Secc Viol. TI.</v>
      </c>
      <c r="B17" s="402">
        <f>Datos!BL17</f>
        <v>0</v>
      </c>
      <c r="C17" s="402">
        <f>Datos!AR17</f>
        <v>0</v>
      </c>
      <c r="D17" s="402">
        <f>Datos!BK17</f>
        <v>0</v>
      </c>
      <c r="E17" s="402">
        <f>Datos!AQ17</f>
        <v>0</v>
      </c>
      <c r="F17" s="403">
        <f>IF(ISNUMBER(E17/Datos!BH17),E17/Datos!BH17," - ")</f>
        <v>0</v>
      </c>
      <c r="G17" s="402" t="str">
        <f>IF(ISNUMBER(Datos!BJ17),Datos!BJ17," - ")</f>
        <v xml:space="preserve"> - </v>
      </c>
      <c r="H17" s="402" t="str">
        <f>IF(ISNUMBER(Datos!AS17),Datos!AS17," - ")</f>
        <v xml:space="preserve"> - </v>
      </c>
      <c r="I17" s="403" t="str">
        <f t="shared" si="2"/>
        <v xml:space="preserve"> - </v>
      </c>
      <c r="J17" s="403" t="str">
        <f t="shared" si="3"/>
        <v xml:space="preserve"> - </v>
      </c>
      <c r="K17" s="419" t="str">
        <f>IF(AND(ISNUMBER(I17/Datos!ER17),(G17&lt;&gt;0)),((I17-Datos!ER17)/Datos!ER17)," - ")</f>
        <v xml:space="preserve"> - </v>
      </c>
      <c r="L17" s="419" t="str">
        <f>IF(AND(ISNUMBER(J17/Datos!ER17),(H17&lt;&gt;0)),((J17-Datos!ER17)/Datos!ER17)," - ")</f>
        <v xml:space="preserve"> - </v>
      </c>
      <c r="M17" s="420">
        <f>IF(EXACT(Datos!ER17,""),"-",Datos!ER17)</f>
        <v>1600</v>
      </c>
    </row>
    <row r="18" spans="1:13" ht="14.25" thickTop="1" thickBot="1">
      <c r="A18" s="847"/>
      <c r="B18" s="851"/>
      <c r="C18" s="851"/>
      <c r="D18" s="848"/>
      <c r="E18" s="848"/>
      <c r="F18" s="849"/>
      <c r="G18" s="848"/>
      <c r="H18" s="849"/>
      <c r="I18" s="848"/>
      <c r="J18" s="849"/>
      <c r="K18" s="848"/>
      <c r="L18" s="849"/>
      <c r="M18" s="849"/>
    </row>
    <row r="19" spans="1:13" ht="16.5" customHeight="1" thickTop="1" thickBot="1">
      <c r="A19" s="792"/>
      <c r="B19" s="796"/>
      <c r="C19" s="796"/>
      <c r="D19" s="793"/>
      <c r="E19" s="793"/>
      <c r="F19" s="794"/>
      <c r="G19" s="793"/>
      <c r="H19" s="794"/>
      <c r="I19" s="793"/>
      <c r="J19" s="794"/>
      <c r="K19" s="793"/>
      <c r="L19" s="794"/>
      <c r="M19" s="794"/>
    </row>
    <row r="20" spans="1:13">
      <c r="A20" s="410"/>
      <c r="B20" s="410"/>
      <c r="C20" s="410"/>
      <c r="D20" s="411"/>
    </row>
    <row r="21" spans="1:13">
      <c r="A21" s="410"/>
      <c r="B21" s="410"/>
      <c r="C21" s="410"/>
      <c r="D21" s="410"/>
    </row>
    <row r="22" spans="1:13">
      <c r="A22" s="1196"/>
      <c r="B22" s="1196"/>
      <c r="C22" s="1196"/>
      <c r="D22" s="1196"/>
    </row>
    <row r="23" spans="1:13">
      <c r="A23" s="390" t="str">
        <f>Criterios!A4</f>
        <v>Fecha Informe: 17 mar. 2026</v>
      </c>
      <c r="B23" s="390"/>
      <c r="C23" s="390"/>
    </row>
    <row r="27" spans="1:13">
      <c r="A27" s="413"/>
      <c r="B27" s="413"/>
      <c r="C27" s="413"/>
    </row>
  </sheetData>
  <sheetProtection algorithmName="SHA-512" hashValue="rpvhtVZZM2r8ecLM4eCHzodFpAtIkXRDjSFcqi2gQgYxmndNgMjqe+EuHLqaFs78zJTTWTM9Q66uHIRb77t/Kw==" saltValue="WMfQJBVmjubdMA2hgvA1fw==" spinCount="100000" sheet="1" objects="1" scenarios="1"/>
  <mergeCells count="7">
    <mergeCell ref="A22:D22"/>
    <mergeCell ref="A5:A6"/>
    <mergeCell ref="G5:H6"/>
    <mergeCell ref="K5:M6"/>
    <mergeCell ref="B5:C6"/>
    <mergeCell ref="I5:J6"/>
    <mergeCell ref="D5:F6"/>
  </mergeCells>
  <phoneticPr fontId="0" type="noConversion"/>
  <printOptions horizontalCentered="1"/>
  <pageMargins left="0.74803149606299213" right="0.74803149606299213" top="0.98425196850393704" bottom="0.39370078740157483" header="0" footer="0"/>
  <pageSetup paperSize="9" scale="44" orientation="landscape" r:id="rId1"/>
  <headerFooter alignWithMargins="0">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indexed="47"/>
    <pageSetUpPr fitToPage="1"/>
  </sheetPr>
  <dimension ref="A1:BZ27"/>
  <sheetViews>
    <sheetView zoomScale="85" zoomScaleNormal="85" workbookViewId="0">
      <selection activeCell="B66" sqref="B66"/>
    </sheetView>
  </sheetViews>
  <sheetFormatPr baseColWidth="10" defaultColWidth="11.42578125" defaultRowHeight="12.75"/>
  <cols>
    <col min="1" max="1" width="42.42578125" style="371" customWidth="1"/>
    <col min="2" max="2" width="9.7109375" style="371" customWidth="1"/>
    <col min="3" max="3" width="13.5703125" style="371" hidden="1" customWidth="1"/>
    <col min="4" max="4" width="14.5703125" style="371" customWidth="1"/>
    <col min="5" max="5" width="14.28515625" style="371" customWidth="1"/>
    <col min="6" max="7" width="14.140625" style="371" customWidth="1"/>
    <col min="8" max="8" width="13.85546875" style="371" customWidth="1"/>
    <col min="9" max="9" width="14" style="371" customWidth="1"/>
    <col min="10" max="77" width="11.42578125" style="371"/>
    <col min="78" max="78" width="0" style="1025" hidden="1" customWidth="1"/>
    <col min="79" max="16384" width="11.42578125" style="371"/>
  </cols>
  <sheetData>
    <row r="1" spans="1:78" ht="105" customHeight="1">
      <c r="G1" s="423"/>
    </row>
    <row r="2" spans="1:78" ht="18.75" customHeight="1">
      <c r="B2" s="388" t="str">
        <f>Criterios!A9 &amp;"  "&amp;Criterios!B9</f>
        <v>Tribunales de Justicia  CATALUÑA</v>
      </c>
      <c r="C2" s="390"/>
    </row>
    <row r="3" spans="1:78" ht="19.5">
      <c r="A3" s="424" t="s">
        <v>11</v>
      </c>
      <c r="B3" s="390" t="str">
        <f>Criterios!A10 &amp;"  "&amp;Criterios!B10</f>
        <v>Provincias  BARCELONA</v>
      </c>
      <c r="C3" s="390"/>
      <c r="D3" s="424"/>
      <c r="BZ3" s="470"/>
    </row>
    <row r="4" spans="1:78" ht="13.5" thickBot="1">
      <c r="B4" s="390" t="str">
        <f>Criterios!A11 &amp;"  "&amp;Criterios!B11</f>
        <v>Resumenes por Partidos Judiciales  VIC</v>
      </c>
      <c r="BZ4" s="470"/>
    </row>
    <row r="5" spans="1:78" ht="15.75" customHeight="1">
      <c r="A5" s="1209" t="str">
        <f>"Año:  " &amp;Criterios!B5 &amp; "                  Trimestre   " &amp;Criterios!D5 &amp; " al " &amp;Criterios!D6</f>
        <v>Año:  2025                  Trimestre   4 al 4</v>
      </c>
      <c r="B5" s="1221" t="s">
        <v>116</v>
      </c>
      <c r="C5" s="1221" t="s">
        <v>123</v>
      </c>
      <c r="D5" s="1199" t="s">
        <v>86</v>
      </c>
      <c r="E5" s="1200"/>
      <c r="F5" s="1199" t="s">
        <v>87</v>
      </c>
      <c r="G5" s="1204"/>
      <c r="H5" s="1199" t="s">
        <v>232</v>
      </c>
      <c r="I5" s="1204"/>
      <c r="BZ5" s="470"/>
    </row>
    <row r="6" spans="1:78" ht="14.25" customHeight="1" thickBot="1">
      <c r="A6" s="1210"/>
      <c r="B6" s="1222"/>
      <c r="C6" s="1222"/>
      <c r="D6" s="1201"/>
      <c r="E6" s="1202"/>
      <c r="F6" s="1201"/>
      <c r="G6" s="1205"/>
      <c r="H6" s="1201"/>
      <c r="I6" s="1205"/>
      <c r="BZ6" s="470"/>
    </row>
    <row r="7" spans="1:78" ht="46.5" customHeight="1" thickTop="1" thickBot="1">
      <c r="A7" s="391" t="str">
        <f>Datos!A7</f>
        <v>COMPETENCIAS</v>
      </c>
      <c r="B7" s="415" t="s">
        <v>117</v>
      </c>
      <c r="C7" s="415" t="s">
        <v>117</v>
      </c>
      <c r="D7" s="393" t="s">
        <v>93</v>
      </c>
      <c r="E7" s="394" t="s">
        <v>6</v>
      </c>
      <c r="F7" s="393" t="s">
        <v>94</v>
      </c>
      <c r="G7" s="394" t="s">
        <v>6</v>
      </c>
      <c r="H7" s="393" t="s">
        <v>233</v>
      </c>
      <c r="I7" s="394" t="s">
        <v>6</v>
      </c>
      <c r="BZ7" s="470"/>
    </row>
    <row r="8" spans="1:78">
      <c r="A8" s="395" t="str">
        <f>Datos!A8</f>
        <v>Jurisdicción Civil ( 1 ):</v>
      </c>
      <c r="B8" s="425"/>
      <c r="C8" s="399"/>
      <c r="D8" s="397"/>
      <c r="E8" s="399"/>
      <c r="F8" s="397"/>
      <c r="G8" s="398"/>
      <c r="H8" s="397"/>
      <c r="I8" s="398"/>
    </row>
    <row r="9" spans="1:78">
      <c r="A9" s="401" t="str">
        <f>Datos!A9</f>
        <v xml:space="preserve">Jdos. 1ª Instancia   </v>
      </c>
      <c r="B9" s="426">
        <f>Datos!AO9</f>
        <v>0</v>
      </c>
      <c r="C9" s="409">
        <f>Datos!AQ9</f>
        <v>0</v>
      </c>
      <c r="D9" s="402" t="str">
        <f>IF(ISNUMBER(Datos!M9),Datos!M9," - ")</f>
        <v xml:space="preserve"> - </v>
      </c>
      <c r="E9" s="403" t="str">
        <f t="shared" ref="E9:E13" si="0">IF(ISNUMBER(D9/B9),D9/B9," - ")</f>
        <v xml:space="preserve"> - </v>
      </c>
      <c r="F9" s="402" t="str">
        <f>IF(ISNUMBER(Datos!N9),Datos!N9," - ")</f>
        <v xml:space="preserve"> - </v>
      </c>
      <c r="G9" s="403" t="str">
        <f t="shared" ref="G9:G13" si="1">IF(ISNUMBER(F9/B9),F9/B9," - ")</f>
        <v xml:space="preserve"> - </v>
      </c>
      <c r="H9" s="402" t="str">
        <f>IF(ISNUMBER(Datos!O9),Datos!O9," - ")</f>
        <v xml:space="preserve"> - </v>
      </c>
      <c r="I9" s="403" t="str">
        <f>IF(ISNUMBER(H9/B9),H9/B9," - ")</f>
        <v xml:space="preserve"> - </v>
      </c>
      <c r="BZ9" s="1185">
        <f>Datos!EZ9</f>
        <v>0</v>
      </c>
    </row>
    <row r="10" spans="1:78">
      <c r="A10" s="401" t="str">
        <f>Datos!A10</f>
        <v>Jdos. Violencia contra la mujer/Secc Viol. TI.</v>
      </c>
      <c r="B10" s="426">
        <f>Datos!AO10</f>
        <v>1</v>
      </c>
      <c r="C10" s="409">
        <f>Datos!AQ10</f>
        <v>0</v>
      </c>
      <c r="D10" s="402">
        <f>IF(ISNUMBER(Datos!M10),Datos!M10," - ")</f>
        <v>8</v>
      </c>
      <c r="E10" s="403">
        <f>IF(ISNUMBER(D10/B10),D10/B10," - ")</f>
        <v>8</v>
      </c>
      <c r="F10" s="402">
        <f>IF(ISNUMBER(Datos!N10),Datos!N10," - ")</f>
        <v>4</v>
      </c>
      <c r="G10" s="403">
        <f>IF(ISNUMBER(F10/B10),F10/B10," - ")</f>
        <v>4</v>
      </c>
      <c r="H10" s="402">
        <f>IF(ISNUMBER(Datos!O10),Datos!O10," - ")</f>
        <v>1</v>
      </c>
      <c r="I10" s="403">
        <f t="shared" ref="I10:I12" si="2">IF(ISNUMBER(H10/B10),H10/B10," - ")</f>
        <v>1</v>
      </c>
      <c r="BZ10" s="1185">
        <f>Datos!EZ10</f>
        <v>0</v>
      </c>
    </row>
    <row r="11" spans="1:78">
      <c r="A11" s="401" t="str">
        <f>Datos!A11</f>
        <v xml:space="preserve">Jdos. Familia                                   </v>
      </c>
      <c r="B11" s="426">
        <f>Datos!AO11</f>
        <v>0</v>
      </c>
      <c r="C11" s="409">
        <f>Datos!AQ11</f>
        <v>0</v>
      </c>
      <c r="D11" s="402" t="str">
        <f>IF(ISNUMBER(Datos!M11),Datos!M11," - ")</f>
        <v xml:space="preserve"> - </v>
      </c>
      <c r="E11" s="403" t="str">
        <f t="shared" si="0"/>
        <v xml:space="preserve"> - </v>
      </c>
      <c r="F11" s="402" t="str">
        <f>IF(ISNUMBER(Datos!N11),Datos!N11," - ")</f>
        <v xml:space="preserve"> - </v>
      </c>
      <c r="G11" s="403" t="str">
        <f t="shared" si="1"/>
        <v xml:space="preserve"> - </v>
      </c>
      <c r="H11" s="402" t="str">
        <f>IF(ISNUMBER(Datos!O11),Datos!O11," - ")</f>
        <v xml:space="preserve"> - </v>
      </c>
      <c r="I11" s="403" t="str">
        <f t="shared" si="2"/>
        <v xml:space="preserve"> - </v>
      </c>
      <c r="BZ11" s="1185">
        <f>Datos!EZ11</f>
        <v>0</v>
      </c>
    </row>
    <row r="12" spans="1:78" ht="13.5" thickBot="1">
      <c r="A12" s="401" t="str">
        <f>Datos!A12</f>
        <v xml:space="preserve">Jdos. 1ª Instª. e Instr./Secc. Civil y de Inst. TI                      </v>
      </c>
      <c r="B12" s="426">
        <f>Datos!AO12</f>
        <v>6</v>
      </c>
      <c r="C12" s="409">
        <f>Datos!AQ12</f>
        <v>6</v>
      </c>
      <c r="D12" s="402">
        <f>IF(ISNUMBER(Datos!M12),Datos!M12," - ")</f>
        <v>442</v>
      </c>
      <c r="E12" s="403">
        <f t="shared" si="0"/>
        <v>73.666666666666671</v>
      </c>
      <c r="F12" s="402">
        <f>IF(ISNUMBER(Datos!N12),Datos!N12," - ")</f>
        <v>1295</v>
      </c>
      <c r="G12" s="403">
        <f t="shared" si="1"/>
        <v>215.83333333333334</v>
      </c>
      <c r="H12" s="402">
        <f>IF(ISNUMBER(Datos!O12),Datos!O12," - ")</f>
        <v>744</v>
      </c>
      <c r="I12" s="403">
        <f t="shared" si="2"/>
        <v>124</v>
      </c>
      <c r="BZ12" s="1185">
        <f>Datos!EZ12</f>
        <v>0</v>
      </c>
    </row>
    <row r="13" spans="1:78" ht="14.25" thickTop="1" thickBot="1">
      <c r="A13" s="847" t="str">
        <f>Datos!A13</f>
        <v>TOTAL</v>
      </c>
      <c r="B13" s="848">
        <f>Datos!AP13</f>
        <v>6</v>
      </c>
      <c r="C13" s="850">
        <f>Datos!AR13</f>
        <v>6</v>
      </c>
      <c r="D13" s="848">
        <f>SUBTOTAL(9,D9:D12)</f>
        <v>450</v>
      </c>
      <c r="E13" s="849">
        <f t="shared" si="0"/>
        <v>75</v>
      </c>
      <c r="F13" s="848">
        <f>SUBTOTAL(9,F9:F12)</f>
        <v>1299</v>
      </c>
      <c r="G13" s="849">
        <f t="shared" si="1"/>
        <v>216.5</v>
      </c>
      <c r="H13" s="848">
        <f>SUBTOTAL(9,H9:H12)</f>
        <v>745</v>
      </c>
      <c r="I13" s="849">
        <f>IF(ISNUMBER(H13/B13),H13/B13," - ")</f>
        <v>124.16666666666667</v>
      </c>
      <c r="BZ13" s="1185"/>
    </row>
    <row r="14" spans="1:78" ht="13.5" thickTop="1">
      <c r="A14" s="395" t="str">
        <f>Datos!A14</f>
        <v xml:space="preserve">Jurisdicción Penal ( 2 ):                      </v>
      </c>
      <c r="B14" s="426">
        <f>Datos!AO14</f>
        <v>0</v>
      </c>
      <c r="C14" s="407"/>
      <c r="D14" s="405"/>
      <c r="E14" s="406"/>
      <c r="F14" s="405"/>
      <c r="G14" s="406"/>
      <c r="H14" s="405"/>
      <c r="I14" s="406"/>
      <c r="BZ14" s="1185">
        <f>Datos!EZ14</f>
        <v>0</v>
      </c>
    </row>
    <row r="15" spans="1:78">
      <c r="A15" s="401" t="str">
        <f>Datos!A15</f>
        <v xml:space="preserve">Jdos. Instrucción                               </v>
      </c>
      <c r="B15" s="426">
        <f>Datos!AO15</f>
        <v>0</v>
      </c>
      <c r="C15" s="427">
        <f>Datos!AQ15</f>
        <v>0</v>
      </c>
      <c r="D15" s="402" t="str">
        <f>IF(ISNUMBER(Datos!M15),Datos!M15," - ")</f>
        <v xml:space="preserve"> - </v>
      </c>
      <c r="E15" s="403" t="str">
        <f t="shared" ref="E15:E18" si="3">IF(ISNUMBER(D15/B15),D15/B15," - ")</f>
        <v xml:space="preserve"> - </v>
      </c>
      <c r="F15" s="402" t="str">
        <f>IF(ISNUMBER(Datos!N15),Datos!N15," - ")</f>
        <v xml:space="preserve"> - </v>
      </c>
      <c r="G15" s="403" t="str">
        <f t="shared" ref="G15:G18" si="4">IF(ISNUMBER(F15/B15),F15/B15," - ")</f>
        <v xml:space="preserve"> - </v>
      </c>
      <c r="H15" s="402" t="str">
        <f>IF(ISNUMBER(Datos!O15),Datos!O15," - ")</f>
        <v xml:space="preserve"> - </v>
      </c>
      <c r="I15" s="403" t="str">
        <f t="shared" ref="I15:I17" si="5">IF(ISNUMBER(H15/B15),H15/B15," - ")</f>
        <v xml:space="preserve"> - </v>
      </c>
      <c r="BZ15" s="1185">
        <f>Datos!EZ15</f>
        <v>0</v>
      </c>
    </row>
    <row r="16" spans="1:78">
      <c r="A16" s="401" t="str">
        <f>Datos!A16</f>
        <v xml:space="preserve">Jdos. 1ª Instª. e Instr./Secc. Civil y de Inst. TI                      </v>
      </c>
      <c r="B16" s="426">
        <f>Datos!AO16</f>
        <v>6</v>
      </c>
      <c r="C16" s="427">
        <f>Datos!AQ16</f>
        <v>6</v>
      </c>
      <c r="D16" s="402">
        <f>IF(ISNUMBER(Datos!M16),Datos!M16," - ")</f>
        <v>259</v>
      </c>
      <c r="E16" s="403">
        <f t="shared" si="3"/>
        <v>43.166666666666664</v>
      </c>
      <c r="F16" s="402">
        <f>IF(ISNUMBER(Datos!N16),Datos!N16," - ")</f>
        <v>803</v>
      </c>
      <c r="G16" s="403">
        <f t="shared" si="4"/>
        <v>133.83333333333334</v>
      </c>
      <c r="H16" s="402">
        <f>IF(ISNUMBER(Datos!O16),Datos!O16," - ")</f>
        <v>6</v>
      </c>
      <c r="I16" s="403">
        <f t="shared" si="5"/>
        <v>1</v>
      </c>
      <c r="BZ16" s="1185">
        <f>Datos!EZ16</f>
        <v>0</v>
      </c>
    </row>
    <row r="17" spans="1:78" ht="13.5" thickBot="1">
      <c r="A17" s="401" t="str">
        <f>Datos!A17</f>
        <v>Jdos. Violencia contra la mujer/Secc Viol. TI.</v>
      </c>
      <c r="B17" s="426">
        <f>Datos!AO17</f>
        <v>1</v>
      </c>
      <c r="C17" s="427">
        <f>Datos!AQ17</f>
        <v>0</v>
      </c>
      <c r="D17" s="402">
        <f>IF(ISNUMBER(Datos!M17),Datos!M17," - ")</f>
        <v>18</v>
      </c>
      <c r="E17" s="403">
        <f>IF(ISNUMBER(D17/B17),D17/B17," - ")</f>
        <v>18</v>
      </c>
      <c r="F17" s="402">
        <f>IF(ISNUMBER(Datos!N17),Datos!N17," - ")</f>
        <v>72</v>
      </c>
      <c r="G17" s="403">
        <f>IF(ISNUMBER(F17/B17),F17/B17," - ")</f>
        <v>72</v>
      </c>
      <c r="H17" s="402">
        <f>IF(ISNUMBER(Datos!O17),Datos!O17," - ")</f>
        <v>0</v>
      </c>
      <c r="I17" s="403">
        <f t="shared" si="5"/>
        <v>0</v>
      </c>
      <c r="BZ17" s="1185">
        <f>Datos!EZ17</f>
        <v>0</v>
      </c>
    </row>
    <row r="18" spans="1:78" ht="14.25" thickTop="1" thickBot="1">
      <c r="A18" s="847" t="str">
        <f>Datos!A18</f>
        <v>TOTAL</v>
      </c>
      <c r="B18" s="848">
        <f>Datos!AP18</f>
        <v>6</v>
      </c>
      <c r="C18" s="850">
        <f>Datos!AR18</f>
        <v>6</v>
      </c>
      <c r="D18" s="848">
        <f>SUBTOTAL(9,D15:D17)</f>
        <v>277</v>
      </c>
      <c r="E18" s="849">
        <f t="shared" si="3"/>
        <v>46.166666666666664</v>
      </c>
      <c r="F18" s="848">
        <f>SUBTOTAL(9,F15:F17)</f>
        <v>875</v>
      </c>
      <c r="G18" s="849">
        <f t="shared" si="4"/>
        <v>145.83333333333334</v>
      </c>
      <c r="H18" s="848">
        <f>SUBTOTAL(9,H15:H17)</f>
        <v>6</v>
      </c>
      <c r="I18" s="849">
        <f>IF(ISNUMBER(H18/B18),H18/B18," - ")</f>
        <v>1</v>
      </c>
      <c r="BZ18" s="1185"/>
    </row>
    <row r="19" spans="1:78" ht="14.25" thickTop="1" thickBot="1">
      <c r="A19" s="792" t="str">
        <f>Datos!A19</f>
        <v>TOTAL JURISDICCIONES</v>
      </c>
      <c r="B19" s="793">
        <f>Datos!AP19</f>
        <v>6</v>
      </c>
      <c r="C19" s="793">
        <f>Datos!AR19</f>
        <v>6</v>
      </c>
      <c r="D19" s="793">
        <f>SUBTOTAL(9,D8:D18)</f>
        <v>727</v>
      </c>
      <c r="E19" s="794">
        <f>IF(ISNUMBER(D19/B19),D19/B19," - ")</f>
        <v>121.16666666666667</v>
      </c>
      <c r="F19" s="793">
        <f>SUBTOTAL(9,F8:F18)</f>
        <v>2174</v>
      </c>
      <c r="G19" s="794">
        <f>IF(ISNUMBER(F19/B19),F19/B19," - ")</f>
        <v>362.33333333333331</v>
      </c>
      <c r="H19" s="793">
        <f>SUBTOTAL(9,H8:H18)</f>
        <v>751</v>
      </c>
      <c r="I19" s="794">
        <f>IF(ISNUMBER(H19/B19),H19/B19," - ")</f>
        <v>125.16666666666667</v>
      </c>
    </row>
    <row r="22" spans="1:78">
      <c r="A22" s="390" t="str">
        <f>Criterios!A4</f>
        <v>Fecha Informe: 17 mar. 2026</v>
      </c>
    </row>
    <row r="27" spans="1:78">
      <c r="A27" s="413"/>
    </row>
  </sheetData>
  <sheetProtection algorithmName="SHA-512" hashValue="Y64CWs4n4RzjNhsfsVsgoxJ0aH3ZGGyYerfbidbLxDM4CHWGt8B4kqSM74RuVpxnWDCMNETM66JOVKAAYKTNvw==" saltValue="qnl6LCA41pP3M8uWyUvCzg==" spinCount="100000" sheet="1" objects="1" scenarios="1"/>
  <mergeCells count="6">
    <mergeCell ref="H5:I6"/>
    <mergeCell ref="D5:E6"/>
    <mergeCell ref="F5:G6"/>
    <mergeCell ref="A5:A6"/>
    <mergeCell ref="B5:B6"/>
    <mergeCell ref="C5:C6"/>
  </mergeCells>
  <phoneticPr fontId="0" type="noConversion"/>
  <printOptions horizontalCentered="1"/>
  <pageMargins left="0.74803149606299213" right="0.74803149606299213" top="0.98425196850393704" bottom="0.39370078740157483" header="0.19685039370078741" footer="0"/>
  <pageSetup paperSize="9" scale="52" orientation="landscape" r:id="rId1"/>
  <headerFooter alignWithMargins="0">
    <oddFooter>&amp;CPágina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indexed="47"/>
    <pageSetUpPr fitToPage="1"/>
  </sheetPr>
  <dimension ref="A1:D27"/>
  <sheetViews>
    <sheetView zoomScale="85" zoomScaleNormal="85" workbookViewId="0"/>
  </sheetViews>
  <sheetFormatPr baseColWidth="10" defaultColWidth="11.42578125" defaultRowHeight="12.75"/>
  <cols>
    <col min="1" max="1" width="45.28515625" style="371" customWidth="1"/>
    <col min="2" max="2" width="14.140625" style="371" customWidth="1"/>
    <col min="3" max="3" width="14.28515625" style="371" customWidth="1"/>
    <col min="4" max="4" width="14" style="371" customWidth="1"/>
    <col min="5" max="16384" width="11.42578125" style="371"/>
  </cols>
  <sheetData>
    <row r="1" spans="1:4" ht="106.5" customHeight="1"/>
    <row r="2" spans="1:4" ht="16.5" customHeight="1">
      <c r="B2" s="388" t="str">
        <f>Criterios!A9 &amp;"  "&amp;Criterios!B9</f>
        <v>Tribunales de Justicia  CATALUÑA</v>
      </c>
    </row>
    <row r="3" spans="1:4" ht="19.5">
      <c r="A3" s="428" t="s">
        <v>32</v>
      </c>
      <c r="B3" s="390" t="str">
        <f>Criterios!A10 &amp;"  "&amp;Criterios!B10</f>
        <v>Provincias  BARCELONA</v>
      </c>
    </row>
    <row r="4" spans="1:4" ht="13.5" thickBot="1">
      <c r="B4" s="390" t="str">
        <f>Criterios!A11 &amp;"  "&amp;Criterios!B11</f>
        <v>Resumenes por Partidos Judiciales  VIC</v>
      </c>
    </row>
    <row r="5" spans="1:4" ht="12.75" customHeight="1">
      <c r="A5" s="1209" t="str">
        <f>"Año:  " &amp;Criterios!B5 &amp; "                  Trimestre   " &amp;Criterios!D5 &amp; " al " &amp;Criterios!D6</f>
        <v>Año:  2025                  Trimestre   4 al 4</v>
      </c>
      <c r="B5" s="1223" t="s">
        <v>10</v>
      </c>
      <c r="C5" s="1223" t="s">
        <v>14</v>
      </c>
      <c r="D5" s="1223" t="s">
        <v>129</v>
      </c>
    </row>
    <row r="6" spans="1:4" ht="15.75" customHeight="1">
      <c r="A6" s="1210"/>
      <c r="B6" s="1224"/>
      <c r="C6" s="1224"/>
      <c r="D6" s="1224"/>
    </row>
    <row r="7" spans="1:4" ht="26.25" customHeight="1" thickBot="1">
      <c r="A7" s="391" t="str">
        <f>Datos!A7</f>
        <v>COMPETENCIAS</v>
      </c>
      <c r="B7" s="1225"/>
      <c r="C7" s="1225"/>
      <c r="D7" s="1225"/>
    </row>
    <row r="8" spans="1:4">
      <c r="A8" s="395" t="str">
        <f>Datos!A8</f>
        <v>Jurisdicción Civil ( 1 ):</v>
      </c>
      <c r="B8" s="429"/>
      <c r="C8" s="430"/>
      <c r="D8" s="431"/>
    </row>
    <row r="9" spans="1:4">
      <c r="A9" s="401" t="str">
        <f>Datos!A9</f>
        <v xml:space="preserve">Jdos. 1ª Instancia   </v>
      </c>
      <c r="B9" s="432" t="str">
        <f>IF(ISNUMBER(Datos!P9),Datos!P9," - ")</f>
        <v xml:space="preserve"> - </v>
      </c>
      <c r="C9" s="433" t="str">
        <f>IF(ISNUMBER(Datos!Q9),Datos!Q9," - ")</f>
        <v xml:space="preserve"> - </v>
      </c>
      <c r="D9" s="407" t="str">
        <f>IF(ISNUMBER(Datos!R9),Datos!R9," - ")</f>
        <v xml:space="preserve"> - </v>
      </c>
    </row>
    <row r="10" spans="1:4">
      <c r="A10" s="401" t="str">
        <f>Datos!A10</f>
        <v>Jdos. Violencia contra la mujer/Secc Viol. TI.</v>
      </c>
      <c r="B10" s="432">
        <f>IF(ISNUMBER(Datos!P10),Datos!P10," - ")</f>
        <v>9</v>
      </c>
      <c r="C10" s="433">
        <f>IF(ISNUMBER(Datos!Q10),Datos!Q10," - ")</f>
        <v>1</v>
      </c>
      <c r="D10" s="407">
        <f>IF(ISNUMBER(Datos!R10),Datos!R10," - ")</f>
        <v>67</v>
      </c>
    </row>
    <row r="11" spans="1:4">
      <c r="A11" s="401" t="str">
        <f>Datos!A11</f>
        <v xml:space="preserve">Jdos. Familia                                   </v>
      </c>
      <c r="B11" s="432" t="str">
        <f>IF(ISNUMBER(Datos!P11),Datos!P11," - ")</f>
        <v xml:space="preserve"> - </v>
      </c>
      <c r="C11" s="433" t="str">
        <f>IF(ISNUMBER(Datos!Q11),Datos!Q11," - ")</f>
        <v xml:space="preserve"> - </v>
      </c>
      <c r="D11" s="407" t="str">
        <f>IF(ISNUMBER(Datos!R11),Datos!R11," - ")</f>
        <v xml:space="preserve"> - </v>
      </c>
    </row>
    <row r="12" spans="1:4" ht="13.5" thickBot="1">
      <c r="A12" s="401" t="str">
        <f>Datos!A12</f>
        <v xml:space="preserve">Jdos. 1ª Instª. e Instr./Secc. Civil y de Inst. TI                      </v>
      </c>
      <c r="B12" s="432">
        <f>IF(ISNUMBER(Datos!P12),Datos!P12," - ")</f>
        <v>639</v>
      </c>
      <c r="C12" s="433">
        <f>IF(ISNUMBER(Datos!Q12),Datos!Q12," - ")</f>
        <v>232</v>
      </c>
      <c r="D12" s="407">
        <f>IF(ISNUMBER(Datos!R12),Datos!R12," - ")</f>
        <v>9056</v>
      </c>
    </row>
    <row r="13" spans="1:4" ht="14.25" thickTop="1" thickBot="1">
      <c r="A13" s="847" t="str">
        <f>Datos!A13</f>
        <v>TOTAL</v>
      </c>
      <c r="B13" s="848">
        <f>SUBTOTAL(9,B9:B12)</f>
        <v>648</v>
      </c>
      <c r="C13" s="852">
        <f>SUBTOTAL(9,C9:C12)</f>
        <v>233</v>
      </c>
      <c r="D13" s="850">
        <f>SUBTOTAL(9,D9:D12)</f>
        <v>9123</v>
      </c>
    </row>
    <row r="14" spans="1:4" ht="13.5" thickTop="1">
      <c r="A14" s="395" t="str">
        <f>Datos!A14</f>
        <v xml:space="preserve">Jurisdicción Penal ( 2 ):                      </v>
      </c>
      <c r="B14" s="405"/>
      <c r="C14" s="434"/>
      <c r="D14" s="407"/>
    </row>
    <row r="15" spans="1:4">
      <c r="A15" s="401" t="str">
        <f>Datos!A15</f>
        <v xml:space="preserve">Jdos. Instrucción                               </v>
      </c>
      <c r="B15" s="432" t="str">
        <f>IF(ISNUMBER(Datos!P15),Datos!P15," - ")</f>
        <v xml:space="preserve"> - </v>
      </c>
      <c r="C15" s="433" t="str">
        <f>IF(ISNUMBER(Datos!Q15),Datos!Q15," - ")</f>
        <v xml:space="preserve"> - </v>
      </c>
      <c r="D15" s="407" t="str">
        <f>IF(ISNUMBER(Datos!R15),Datos!R15," - ")</f>
        <v xml:space="preserve"> - </v>
      </c>
    </row>
    <row r="16" spans="1:4">
      <c r="A16" s="401" t="str">
        <f>Datos!A16</f>
        <v xml:space="preserve">Jdos. 1ª Instª. e Instr./Secc. Civil y de Inst. TI                      </v>
      </c>
      <c r="B16" s="432">
        <f>IF(ISNUMBER(Datos!P16),Datos!P16," - ")</f>
        <v>38</v>
      </c>
      <c r="C16" s="433">
        <f>IF(ISNUMBER(Datos!Q16),Datos!Q16," - ")</f>
        <v>34</v>
      </c>
      <c r="D16" s="407">
        <f>IF(ISNUMBER(Datos!R16),Datos!R16," - ")</f>
        <v>339</v>
      </c>
    </row>
    <row r="17" spans="1:4" ht="13.5" thickBot="1">
      <c r="A17" s="401" t="str">
        <f>Datos!A17</f>
        <v>Jdos. Violencia contra la mujer/Secc Viol. TI.</v>
      </c>
      <c r="B17" s="432">
        <f>IF(ISNUMBER(Datos!P17),Datos!P17," - ")</f>
        <v>0</v>
      </c>
      <c r="C17" s="433">
        <f>IF(ISNUMBER(Datos!Q17),Datos!Q17," - ")</f>
        <v>1</v>
      </c>
      <c r="D17" s="407">
        <f>IF(ISNUMBER(Datos!R17),Datos!R17," - ")</f>
        <v>6</v>
      </c>
    </row>
    <row r="18" spans="1:4" ht="14.25" thickTop="1" thickBot="1">
      <c r="A18" s="847" t="str">
        <f>Datos!A18</f>
        <v>TOTAL</v>
      </c>
      <c r="B18" s="848">
        <f>SUBTOTAL(9,B15:B17)</f>
        <v>38</v>
      </c>
      <c r="C18" s="852">
        <f>SUBTOTAL(9,C15:C17)</f>
        <v>35</v>
      </c>
      <c r="D18" s="850">
        <f>SUBTOTAL(9,D15:D17)</f>
        <v>345</v>
      </c>
    </row>
    <row r="19" spans="1:4" ht="16.5" customHeight="1" thickTop="1" thickBot="1">
      <c r="A19" s="792" t="str">
        <f>Datos!A19</f>
        <v>TOTAL JURISDICCIONES</v>
      </c>
      <c r="B19" s="797">
        <f>SUBTOTAL(9,B8:B18)</f>
        <v>686</v>
      </c>
      <c r="C19" s="798">
        <f>SUBTOTAL(9,C8:C18)</f>
        <v>268</v>
      </c>
      <c r="D19" s="799">
        <f>SUBTOTAL(9,D8:D18)</f>
        <v>9468</v>
      </c>
    </row>
    <row r="20" spans="1:4" ht="7.5" customHeight="1"/>
    <row r="21" spans="1:4" ht="6" customHeight="1"/>
    <row r="22" spans="1:4">
      <c r="A22" s="390" t="str">
        <f>Criterios!A4</f>
        <v>Fecha Informe: 17 mar. 2026</v>
      </c>
    </row>
    <row r="27" spans="1:4">
      <c r="A27" s="413"/>
    </row>
  </sheetData>
  <sheetProtection algorithmName="SHA-512" hashValue="PyB8Us670flGGlRZ8ioQREArbfqbd/TAHFKuYddecIcXCR0q+ADGuzHcCb85bqbgwVaZALLZn2C+QmtDx143Kw==" saltValue="b2pEsgWdaMit0RSsiXOqNA==" spinCount="100000" sheet="1" objects="1" scenarios="1"/>
  <mergeCells count="4">
    <mergeCell ref="D5:D7"/>
    <mergeCell ref="A5:A6"/>
    <mergeCell ref="B5:B7"/>
    <mergeCell ref="C5:C7"/>
  </mergeCells>
  <phoneticPr fontId="0" type="noConversion"/>
  <printOptions horizontalCentered="1"/>
  <pageMargins left="0.74803149606299213" right="0.74803149606299213" top="0.98425196850393704" bottom="0.39370078740157483" header="0" footer="0"/>
  <pageSetup paperSize="9" scale="55" orientation="landscape"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indexed="45"/>
    <pageSetUpPr fitToPage="1"/>
  </sheetPr>
  <dimension ref="A1:L29"/>
  <sheetViews>
    <sheetView zoomScale="85" zoomScaleNormal="85" workbookViewId="0">
      <selection activeCell="D9" sqref="D9"/>
    </sheetView>
  </sheetViews>
  <sheetFormatPr baseColWidth="10" defaultColWidth="11.42578125" defaultRowHeight="12.75"/>
  <cols>
    <col min="1" max="1" width="32" style="371" customWidth="1"/>
    <col min="2" max="2" width="13.28515625" style="371" customWidth="1"/>
    <col min="3" max="3" width="12" style="371" customWidth="1"/>
    <col min="4" max="4" width="10.5703125" style="371" bestFit="1" customWidth="1"/>
    <col min="5" max="5" width="13.42578125" style="371" bestFit="1" customWidth="1"/>
    <col min="6" max="6" width="11.140625" style="371" customWidth="1"/>
    <col min="7" max="7" width="11.28515625" style="371" customWidth="1"/>
    <col min="8" max="8" width="12.7109375" style="371" bestFit="1" customWidth="1"/>
    <col min="9" max="10" width="12.28515625" style="371" customWidth="1"/>
    <col min="11" max="11" width="12.7109375" style="371" bestFit="1" customWidth="1"/>
    <col min="12" max="16384" width="11.42578125" style="371"/>
  </cols>
  <sheetData>
    <row r="1" spans="1:11" ht="97.5" customHeight="1"/>
    <row r="2" spans="1:11" ht="10.5" customHeight="1">
      <c r="B2" s="388" t="str">
        <f>Criterios!A9 &amp;"  "&amp;Criterios!B9</f>
        <v>Tribunales de Justicia  CATALUÑA</v>
      </c>
    </row>
    <row r="3" spans="1:11" ht="18.75" customHeight="1">
      <c r="A3" s="428" t="s">
        <v>118</v>
      </c>
      <c r="B3" s="390" t="str">
        <f>Criterios!A10 &amp;"  "&amp;Criterios!B10</f>
        <v>Provincias  BARCELONA</v>
      </c>
    </row>
    <row r="4" spans="1:11" ht="10.5" customHeight="1" thickBot="1">
      <c r="B4" s="390" t="str">
        <f>Criterios!A11 &amp;"  "&amp;Criterios!B11</f>
        <v>Resumenes por Partidos Judiciales  VIC</v>
      </c>
    </row>
    <row r="5" spans="1:11" ht="12.75" customHeight="1">
      <c r="A5" s="1209" t="str">
        <f>"Año:  " &amp;Criterios!B5 &amp; "    Trimestre   " &amp;Criterios!D5 &amp; " al " &amp;Criterios!D6</f>
        <v>Año:  2025    Trimestre   4 al 4</v>
      </c>
      <c r="B5" s="1241" t="s">
        <v>128</v>
      </c>
      <c r="C5" s="1206" t="s">
        <v>13</v>
      </c>
      <c r="D5" s="1190" t="s">
        <v>9</v>
      </c>
      <c r="E5" s="1190" t="s">
        <v>129</v>
      </c>
      <c r="F5" s="1206" t="s">
        <v>7</v>
      </c>
      <c r="G5" s="1228" t="s">
        <v>8</v>
      </c>
      <c r="H5" s="1221" t="s">
        <v>119</v>
      </c>
      <c r="I5" s="1233" t="s">
        <v>120</v>
      </c>
      <c r="J5" s="1236" t="s">
        <v>121</v>
      </c>
      <c r="K5" s="1203" t="s">
        <v>122</v>
      </c>
    </row>
    <row r="6" spans="1:11" ht="12.75" customHeight="1">
      <c r="A6" s="1210"/>
      <c r="B6" s="1242"/>
      <c r="C6" s="1207"/>
      <c r="D6" s="1191"/>
      <c r="E6" s="1191"/>
      <c r="F6" s="1207"/>
      <c r="G6" s="1229"/>
      <c r="H6" s="1231"/>
      <c r="I6" s="1234"/>
      <c r="J6" s="1237"/>
      <c r="K6" s="1239"/>
    </row>
    <row r="7" spans="1:11" ht="23.25" customHeight="1" thickBot="1">
      <c r="A7" s="391" t="str">
        <f>Datos!A7</f>
        <v>COMPETENCIAS</v>
      </c>
      <c r="B7" s="1243"/>
      <c r="C7" s="1208"/>
      <c r="D7" s="1192"/>
      <c r="E7" s="1192"/>
      <c r="F7" s="1208"/>
      <c r="G7" s="1230"/>
      <c r="H7" s="1232"/>
      <c r="I7" s="1235"/>
      <c r="J7" s="1238"/>
      <c r="K7" s="1240"/>
    </row>
    <row r="8" spans="1:11">
      <c r="A8" s="395" t="str">
        <f>Datos!A8</f>
        <v>Jurisdicción Civil ( 1 ):</v>
      </c>
      <c r="B8" s="448"/>
      <c r="C8" s="449"/>
      <c r="D8" s="449"/>
      <c r="E8" s="449"/>
      <c r="F8" s="450"/>
      <c r="G8" s="451"/>
      <c r="H8" s="437"/>
      <c r="I8" s="438"/>
      <c r="J8" s="439"/>
      <c r="K8" s="452"/>
    </row>
    <row r="9" spans="1:11">
      <c r="A9" s="401" t="str">
        <f>Datos!A9</f>
        <v xml:space="preserve">Jdos. 1ª Instancia   </v>
      </c>
      <c r="B9" s="454" t="str">
        <f>IF(ISNUMBER(
   IF(J_V="SI",(Datos!I9-Datos!S9)/Datos!S9,(Datos!I9+Datos!Y9-(Datos!S9+Datos!AG9))/(Datos!S9+Datos!AG9))
     ),IF(J_V="SI",(Datos!I9-Datos!S9)/Datos!S9,(Datos!I9+Datos!Y9-(Datos!S9+Datos!AG9))/(Datos!S9+Datos!AG9))," - ")</f>
        <v xml:space="preserve"> - </v>
      </c>
      <c r="C9" s="455" t="str">
        <f>IF(ISNUMBER(
   IF(J_V="SI",(Datos!J9-Datos!T9)/Datos!T9,(Datos!J9+Datos!Z9-(Datos!T9+Datos!AH9))/(Datos!T9+Datos!AH9))
     ),IF(J_V="SI",(Datos!J9-Datos!T9)/Datos!T9,(Datos!J9+Datos!Z9-(Datos!T9+Datos!AH9))/(Datos!T9+Datos!AH9))," - ")</f>
        <v xml:space="preserve"> - </v>
      </c>
      <c r="D9" s="455" t="str">
        <f>IF(ISNUMBER(
   IF(J_V="SI",(Datos!K9-Datos!U9)/Datos!U9,(Datos!K9+Datos!AA9-(Datos!U9+Datos!AI9))/(Datos!U9+Datos!AI9))
     ),IF(J_V="SI",(Datos!K9-Datos!U9)/Datos!U9,(Datos!K9+Datos!AA9-(Datos!U9+Datos!AI9))/(Datos!U9+Datos!AI9))," - ")</f>
        <v xml:space="preserve"> - </v>
      </c>
      <c r="E9" s="455" t="str">
        <f>IF(ISNUMBER(
   IF(J_V="SI",(Datos!L9-Datos!V9)/Datos!V9,(Datos!L9+Datos!AB9-(Datos!V9+Datos!AJ9))/(Datos!V9+Datos!AJ9))
     ),IF(J_V="SI",(Datos!L9-Datos!V9)/Datos!V9,(Datos!L9+Datos!AB9-(Datos!V9+Datos!AJ9))/(Datos!V9+Datos!AJ9))," - ")</f>
        <v xml:space="preserve"> - </v>
      </c>
      <c r="F9" s="455" t="str">
        <f>IF(ISNUMBER((Datos!M9-Datos!W9)/Datos!W9),(Datos!M9-Datos!W9)/Datos!W9," - ")</f>
        <v xml:space="preserve"> - </v>
      </c>
      <c r="G9" s="456" t="str">
        <f>IF(ISNUMBER((Datos!N9-Datos!X9)/Datos!X9),(Datos!N9-Datos!X9)/Datos!X9," - ")</f>
        <v xml:space="preserve"> - </v>
      </c>
      <c r="H9" s="454" t="str">
        <f>IF(ISNUMBER(((NºAsuntos!G9/NºAsuntos!E9)-Datos!BD9)/Datos!BD9),((NºAsuntos!G9/NºAsuntos!E9)-Datos!BD9)/Datos!BD9," - ")</f>
        <v xml:space="preserve"> - </v>
      </c>
      <c r="I9" s="455" t="str">
        <f>IF(ISNUMBER(((NºAsuntos!I9/NºAsuntos!G9)-Datos!BE9)/Datos!BE9),((NºAsuntos!I9/NºAsuntos!G9)-Datos!BE9)/Datos!BE9," - ")</f>
        <v xml:space="preserve"> - </v>
      </c>
      <c r="J9" s="460" t="str">
        <f>IF(ISNUMBER((('Resol  Asuntos'!D9/NºAsuntos!G9)-Datos!BF9)/Datos!BF9),(('Resol  Asuntos'!D9/NºAsuntos!G9)-Datos!BF9)/Datos!BF9," - ")</f>
        <v xml:space="preserve"> - </v>
      </c>
      <c r="K9" s="461" t="str">
        <f>IF(ISNUMBER((((NºAsuntos!C9+NºAsuntos!E9)/NºAsuntos!G9)-Datos!BG9)/Datos!BG9),(((NºAsuntos!C9+NºAsuntos!E9)/NºAsuntos!G9)-Datos!BG9)/Datos!BG9," - ")</f>
        <v xml:space="preserve"> - </v>
      </c>
    </row>
    <row r="10" spans="1:11" ht="21">
      <c r="A10" s="401" t="str">
        <f>Datos!A10</f>
        <v>Jdos. Violencia contra la mujer/Secc Viol. TI.</v>
      </c>
      <c r="B10" s="454">
        <f>IF(ISNUMBER((Datos!I10-Datos!S10)/Datos!S10),(Datos!I10-Datos!S10)/Datos!S10," - ")</f>
        <v>1.0309278350515464E-2</v>
      </c>
      <c r="C10" s="455">
        <f>IF(ISNUMBER((Datos!J10-Datos!T10)/Datos!T10),(Datos!J10-Datos!T10)/Datos!T10," - ")</f>
        <v>-0.26666666666666666</v>
      </c>
      <c r="D10" s="455">
        <f>IF(ISNUMBER((Datos!K10-Datos!U10)/Datos!U10),(Datos!K10-Datos!U10)/Datos!U10," - ")</f>
        <v>-0.5714285714285714</v>
      </c>
      <c r="E10" s="455">
        <f>IF(ISNUMBER((Datos!L10-Datos!V10)/Datos!V10),(Datos!L10-Datos!V10)/Datos!V10," - ")</f>
        <v>0.15476190476190477</v>
      </c>
      <c r="F10" s="455">
        <f>IF(ISNUMBER((Datos!M10-Datos!W10)/Datos!W10),(Datos!M10-Datos!W10)/Datos!W10," - ")</f>
        <v>-0.27272727272727271</v>
      </c>
      <c r="G10" s="456">
        <f>IF(ISNUMBER((Datos!N10-Datos!X10)/Datos!X10),(Datos!N10-Datos!X10)/Datos!X10," - ")</f>
        <v>-0.69230769230769229</v>
      </c>
      <c r="H10" s="454">
        <f>IF(ISNUMBER(((NºAsuntos!G10/NºAsuntos!E10)-Datos!BD10)/Datos!BD10),((NºAsuntos!G10/NºAsuntos!E10)-Datos!BD10)/Datos!BD10," - ")</f>
        <v>-0.41558441558441561</v>
      </c>
      <c r="I10" s="455">
        <f>IF(ISNUMBER(((NºAsuntos!I10/NºAsuntos!G10)-Datos!BE10)/Datos!BE10),((NºAsuntos!I10/NºAsuntos!G10)-Datos!BE10)/Datos!BE10," - ")</f>
        <v>1.6944444444444446</v>
      </c>
      <c r="J10" s="460">
        <f>IF(ISNUMBER((('Resol  Asuntos'!D10/NºAsuntos!G10)-Datos!BF10)/Datos!BF10),(('Resol  Asuntos'!D10/NºAsuntos!G10)-Datos!BF10)/Datos!BF10," - ")</f>
        <v>0.69696969696969691</v>
      </c>
      <c r="K10" s="461">
        <f>IF(ISNUMBER((((NºAsuntos!C10+NºAsuntos!E10)/NºAsuntos!G10)-Datos!BG10)/Datos!BG10),(((NºAsuntos!C10+NºAsuntos!E10)/NºAsuntos!G10)-Datos!BG10)/Datos!BG10," - ")</f>
        <v>1.2708333333333335</v>
      </c>
    </row>
    <row r="11" spans="1:11">
      <c r="A11" s="401" t="str">
        <f>Datos!A11</f>
        <v xml:space="preserve">Jdos. Familia                                   </v>
      </c>
      <c r="B11" s="454" t="str">
        <f>IF(ISNUMBER(
   IF(J_V="SI",(Datos!I11-Datos!S11)/Datos!S11,(Datos!I11+Datos!Y11-(Datos!S11+Datos!AG11))/(Datos!S11+Datos!AG11))
     ),IF(J_V="SI",(Datos!I11-Datos!S11)/Datos!S11,(Datos!I11+Datos!Y11-(Datos!S11+Datos!AG11))/(Datos!S11+Datos!AG11))," - ")</f>
        <v xml:space="preserve"> - </v>
      </c>
      <c r="C11" s="455" t="str">
        <f>IF(ISNUMBER(
   IF(J_V="SI",(Datos!J11-Datos!T11)/Datos!T11,(Datos!J11+Datos!Z11-(Datos!T11+Datos!AH11))/(Datos!T11+Datos!AH11))
     ),IF(J_V="SI",(Datos!J11-Datos!T11)/Datos!T11,(Datos!J11+Datos!Z11-(Datos!T11+Datos!AH11))/(Datos!T11+Datos!AH11))," - ")</f>
        <v xml:space="preserve"> - </v>
      </c>
      <c r="D11" s="455" t="str">
        <f>IF(ISNUMBER(
   IF(J_V="SI",(Datos!K11-Datos!U11)/Datos!U11,(Datos!K11+Datos!AA11-(Datos!U11+Datos!AI11))/(Datos!U11+Datos!AI11))
     ),IF(J_V="SI",(Datos!K11-Datos!U11)/Datos!U11,(Datos!K11+Datos!AA11-(Datos!U11+Datos!AI11))/(Datos!U11+Datos!AI11))," - ")</f>
        <v xml:space="preserve"> - </v>
      </c>
      <c r="E11" s="455" t="str">
        <f>IF(ISNUMBER(
   IF(J_V="SI",(Datos!L11-Datos!V11)/Datos!V11,(Datos!L11+Datos!AB11-(Datos!V11+Datos!AJ11))/(Datos!V11+Datos!AJ11))
     ),IF(J_V="SI",(Datos!L11-Datos!V11)/Datos!V11,(Datos!L11+Datos!AB11-(Datos!V11+Datos!AJ11))/(Datos!V11+Datos!AJ11))," - ")</f>
        <v xml:space="preserve"> - </v>
      </c>
      <c r="F11" s="455" t="str">
        <f>IF(ISNUMBER((Datos!M11-Datos!W11)/Datos!W11),(Datos!M11-Datos!W11)/Datos!W11," - ")</f>
        <v xml:space="preserve"> - </v>
      </c>
      <c r="G11" s="456" t="str">
        <f>IF(ISNUMBER((Datos!N11-Datos!X11)/Datos!X11),(Datos!N11-Datos!X11)/Datos!X11," - ")</f>
        <v xml:space="preserve"> - </v>
      </c>
      <c r="H11" s="454" t="str">
        <f>IF(ISNUMBER(((NºAsuntos!G11/NºAsuntos!E11)-Datos!BD11)/Datos!BD11),((NºAsuntos!G11/NºAsuntos!E11)-Datos!BD11)/Datos!BD11," - ")</f>
        <v xml:space="preserve"> - </v>
      </c>
      <c r="I11" s="455" t="str">
        <f>IF(ISNUMBER(((NºAsuntos!I11/NºAsuntos!G11)-Datos!BE11)/Datos!BE11),((NºAsuntos!I11/NºAsuntos!G11)-Datos!BE11)/Datos!BE11," - ")</f>
        <v xml:space="preserve"> - </v>
      </c>
      <c r="J11" s="460" t="str">
        <f>IF(ISNUMBER((('Resol  Asuntos'!D11/NºAsuntos!G11)-Datos!BF11)/Datos!BF11),(('Resol  Asuntos'!D11/NºAsuntos!G11)-Datos!BF11)/Datos!BF11," - ")</f>
        <v xml:space="preserve"> - </v>
      </c>
      <c r="K11" s="461" t="str">
        <f>IF(ISNUMBER((((NºAsuntos!C11+NºAsuntos!E11)/NºAsuntos!G11)-Datos!BG11)/Datos!BG11),(((NºAsuntos!C11+NºAsuntos!E11)/NºAsuntos!G11)-Datos!BG11)/Datos!BG11," - ")</f>
        <v xml:space="preserve"> - </v>
      </c>
    </row>
    <row r="12" spans="1:11" ht="21.75" thickBot="1">
      <c r="A12" s="401" t="str">
        <f>Datos!A12</f>
        <v xml:space="preserve">Jdos. 1ª Instª. e Instr./Secc. Civil y de Inst. TI                      </v>
      </c>
      <c r="B12" s="454">
        <f>IF(ISNUMBER(
   IF(J_V="SI",(Datos!I12-Datos!S12)/Datos!S12,(Datos!I12+Datos!Y12-(Datos!S12+Datos!AG12))/(Datos!S12+Datos!AG12))
     ),IF(J_V="SI",(Datos!I12-Datos!S12)/Datos!S12,(Datos!I12+Datos!Y12-(Datos!S12+Datos!AG12))/(Datos!S12+Datos!AG12))," - ")</f>
        <v>5.6652101853246949E-2</v>
      </c>
      <c r="C12" s="455">
        <f>IF(ISNUMBER(
   IF(J_V="SI",(Datos!J12-Datos!T12)/Datos!T12,(Datos!J12+Datos!Z12-(Datos!T12+Datos!AH12))/(Datos!T12+Datos!AH12))
     ),IF(J_V="SI",(Datos!J12-Datos!T12)/Datos!T12,(Datos!J12+Datos!Z12-(Datos!T12+Datos!AH12))/(Datos!T12+Datos!AH12))," - ")</f>
        <v>-6.4013840830449822E-2</v>
      </c>
      <c r="D12" s="455">
        <f>IF(ISNUMBER(
   IF(J_V="SI",(Datos!K12-Datos!U12)/Datos!U12,(Datos!K12+Datos!AA12-(Datos!U12+Datos!AI12))/(Datos!U12+Datos!AI12))
     ),IF(J_V="SI",(Datos!K12-Datos!U12)/Datos!U12,(Datos!K12+Datos!AA12-(Datos!U12+Datos!AI12))/(Datos!U12+Datos!AI12))," - ")</f>
        <v>0.59813084112149528</v>
      </c>
      <c r="E12" s="455">
        <f>IF(ISNUMBER(
   IF(J_V="SI",(Datos!L12-Datos!V12)/Datos!V12,(Datos!L12+Datos!AB12-(Datos!V12+Datos!AJ12))/(Datos!V12+Datos!AJ12))
     ),IF(J_V="SI",(Datos!L12-Datos!V12)/Datos!V12,(Datos!L12+Datos!AB12-(Datos!V12+Datos!AJ12))/(Datos!V12+Datos!AJ12))," - ")</f>
        <v>-0.10032602252519265</v>
      </c>
      <c r="F12" s="455">
        <f>IF(ISNUMBER((Datos!M12-Datos!W12)/Datos!W12),(Datos!M12-Datos!W12)/Datos!W12," - ")</f>
        <v>0.11616161616161616</v>
      </c>
      <c r="G12" s="456">
        <f>IF(ISNUMBER((Datos!N12-Datos!X12)/Datos!X12),(Datos!N12-Datos!X12)/Datos!X12," - ")</f>
        <v>0.95324283559577683</v>
      </c>
      <c r="H12" s="454">
        <f>IF(ISNUMBER(((NºAsuntos!G12/NºAsuntos!E12)-Datos!BD12)/Datos!BD12),((NºAsuntos!G12/NºAsuntos!E12)-Datos!BD12)/Datos!BD12," - ")</f>
        <v>0.70742999291723541</v>
      </c>
      <c r="I12" s="455">
        <f>IF(ISNUMBER(((NºAsuntos!I12/NºAsuntos!G12)-Datos!BE12)/Datos!BE12),((NºAsuntos!I12/NºAsuntos!G12)-Datos!BE12)/Datos!BE12," - ")</f>
        <v>-0.43704610766196272</v>
      </c>
      <c r="J12" s="460">
        <f>IF(ISNUMBER((('Resol  Asuntos'!D12/NºAsuntos!G12)-Datos!BF12)/Datos!BF12),(('Resol  Asuntos'!D12/NºAsuntos!G12)-Datos!BF12)/Datos!BF12," - ")</f>
        <v>-0.5828460038986355</v>
      </c>
      <c r="K12" s="461">
        <f>IF(ISNUMBER((((NºAsuntos!C12+NºAsuntos!E12)/NºAsuntos!G12)-Datos!BG12)/Datos!BG12),(((NºAsuntos!C12+NºAsuntos!E12)/NºAsuntos!G12)-Datos!BG12)/Datos!BG12," - ")</f>
        <v>-0.35446029560421977</v>
      </c>
    </row>
    <row r="13" spans="1:11" ht="14.25" thickTop="1" thickBot="1">
      <c r="A13" s="847" t="str">
        <f>Datos!A13</f>
        <v>TOTAL</v>
      </c>
      <c r="B13" s="853">
        <f>IF(ISNUMBER(
   IF(J_V="SI",(Datos!I13-Datos!S13)/Datos!S13,(Datos!I13+Datos!Y13-(Datos!S13+Datos!AG13))/(Datos!S13+Datos!AG13))
     ),IF(J_V="SI",(Datos!I13-Datos!S13)/Datos!S13,(Datos!I13+Datos!Y13-(Datos!S13+Datos!AG13))/(Datos!S13+Datos!AG13))," - ")</f>
        <v>5.5984555984555984E-2</v>
      </c>
      <c r="C13" s="854">
        <f>IF(ISNUMBER(
   IF(J_V="SI",(Datos!J13-Datos!T13)/Datos!T13,(Datos!J13+Datos!Z13-(Datos!T13+Datos!AH13))/(Datos!T13+Datos!AH13))
     ),IF(J_V="SI",(Datos!J13-Datos!T13)/Datos!T13,(Datos!J13+Datos!Z13-(Datos!T13+Datos!AH13))/(Datos!T13+Datos!AH13))," - ")</f>
        <v>-6.5751858204688388E-2</v>
      </c>
      <c r="D13" s="854">
        <f>IF(ISNUMBER(
   IF(J_V="SI",(Datos!K13-Datos!U13)/Datos!U13,(Datos!K13+Datos!AA13-(Datos!U13+Datos!AI13))/(Datos!U13+Datos!AI13))
     ),IF(J_V="SI",(Datos!K13-Datos!U13)/Datos!U13,(Datos!K13+Datos!AA13-(Datos!U13+Datos!AI13))/(Datos!U13+Datos!AI13))," - ")</f>
        <v>0.57807715860379671</v>
      </c>
      <c r="E13" s="854">
        <f>IF(ISNUMBER(
   IF(J_V="SI",(Datos!L13-Datos!V13)/Datos!V13,(Datos!L13+Datos!AB13-(Datos!V13+Datos!AJ13))/(Datos!V13+Datos!AJ13))
     ),IF(J_V="SI",(Datos!L13-Datos!V13)/Datos!V13,(Datos!L13+Datos!AB13-(Datos!V13+Datos!AJ13))/(Datos!V13+Datos!AJ13))," - ")</f>
        <v>-9.7189695550351285E-2</v>
      </c>
      <c r="F13" s="855">
        <f>IF(ISNUMBER((Datos!M13-Datos!W13)/Datos!W13),(Datos!M13-Datos!W13)/Datos!W13," - ")</f>
        <v>0.10565110565110565</v>
      </c>
      <c r="G13" s="856">
        <f>IF(ISNUMBER((Datos!N13-Datos!X13)/Datos!X13),(Datos!N13-Datos!X13)/Datos!X13," - ")</f>
        <v>0.92159763313609466</v>
      </c>
      <c r="H13" s="856">
        <f>IF(ISNUMBER(((NºAsuntos!G13/NºAsuntos!E13)-Datos!BD13)/Datos!BD13),((NºAsuntos!G13/NºAsuntos!E13)-Datos!BD13)/Datos!BD13," - ")</f>
        <v>0.68914134051287679</v>
      </c>
      <c r="I13" s="856">
        <f>IF(ISNUMBER(((NºAsuntos!I13/NºAsuntos!G13)-Datos!BE13)/Datos!BE13),((NºAsuntos!I13/NºAsuntos!G13)-Datos!BE13)/Datos!BE13," - ")</f>
        <v>-0.42790484005965218</v>
      </c>
      <c r="J13" s="856">
        <f>IF(ISNUMBER((('Resol  Asuntos'!D13/NºAsuntos!G13)-Datos!BF13)/Datos!BF13),(('Resol  Asuntos'!D13/NºAsuntos!G13)-Datos!BF13)/Datos!BF13," - ")</f>
        <v>-0.57691816099736426</v>
      </c>
      <c r="K13" s="856">
        <f>IF(ISNUMBER((((NºAsuntos!C13+NºAsuntos!E13)/NºAsuntos!G13)-Datos!BG13)/Datos!BG13),(((NºAsuntos!C13+NºAsuntos!E13)/NºAsuntos!G13)-Datos!BG13)/Datos!BG13," - ")</f>
        <v>-0.34674594686874266</v>
      </c>
    </row>
    <row r="14" spans="1:11" ht="13.5" thickTop="1">
      <c r="A14" s="395" t="str">
        <f>Datos!A14</f>
        <v xml:space="preserve">Jurisdicción Penal ( 2 ):                      </v>
      </c>
      <c r="B14" s="457"/>
      <c r="C14" s="458"/>
      <c r="D14" s="458"/>
      <c r="E14" s="458"/>
      <c r="F14" s="458"/>
      <c r="G14" s="459"/>
      <c r="H14" s="454"/>
      <c r="I14" s="455"/>
      <c r="J14" s="460"/>
      <c r="K14" s="461"/>
    </row>
    <row r="15" spans="1:11">
      <c r="A15" s="401" t="str">
        <f>Datos!A15</f>
        <v xml:space="preserve">Jdos. Instrucción                               </v>
      </c>
      <c r="B15" s="454" t="str">
        <f>IF(ISNUMBER(
   IF(D_I="SI",(Datos!I15-Datos!S15)/Datos!S15,(Datos!I15+Datos!AC15-(Datos!S15+Datos!AK15))/(Datos!S15+Datos!AK15))
     ),IF(D_I="SI",(Datos!I15-Datos!S15)/Datos!S15,(Datos!I15+Datos!AC15-(Datos!S15+Datos!AK15))/(Datos!S15+Datos!AK15))," - ")</f>
        <v xml:space="preserve"> - </v>
      </c>
      <c r="C15" s="455" t="str">
        <f>IF(ISNUMBER(
   IF(D_I="SI",(Datos!J15-Datos!T15)/Datos!T15,(Datos!J15+Datos!AD15-(Datos!T15+Datos!AL15))/(Datos!T15+Datos!AL15))
     ),IF(D_I="SI",(Datos!J15-Datos!T15)/Datos!T15,(Datos!J15+Datos!AD15-(Datos!T15+Datos!AL15))/(Datos!T15+Datos!AL15))," - ")</f>
        <v xml:space="preserve"> - </v>
      </c>
      <c r="D15" s="455" t="str">
        <f>IF(ISNUMBER(
   IF(D_I="SI",(Datos!K15-Datos!U15)/Datos!U15,(Datos!K15+Datos!AE15-(Datos!U15+Datos!AM15))/(Datos!U15+Datos!AM15))
     ),IF(D_I="SI",(Datos!K15-Datos!U15)/Datos!U15,(Datos!K15+Datos!AE15-(Datos!U15+Datos!AM15))/(Datos!U15+Datos!AM15))," - ")</f>
        <v xml:space="preserve"> - </v>
      </c>
      <c r="E15" s="455" t="str">
        <f>IF(ISNUMBER(
   IF(D_I="SI",(Datos!L15-Datos!V15)/Datos!V15,(Datos!L15+Datos!AF15-(Datos!V15+Datos!AN15))/(Datos!V15+Datos!AN15))
     ),IF(D_I="SI",(Datos!L15-Datos!V15)/Datos!V15,(Datos!L15+Datos!AF15-(Datos!V15+Datos!AN15))/(Datos!V15+Datos!AN15))," - ")</f>
        <v xml:space="preserve"> - </v>
      </c>
      <c r="F15" s="455" t="str">
        <f>IF(ISNUMBER((Datos!M15-Datos!W15)/Datos!W15),(Datos!M15-Datos!W15)/Datos!W15," - ")</f>
        <v xml:space="preserve"> - </v>
      </c>
      <c r="G15" s="456" t="str">
        <f>IF(ISNUMBER((Datos!N15-Datos!X15)/Datos!X15),(Datos!N15-Datos!X15)/Datos!X15," - ")</f>
        <v xml:space="preserve"> - </v>
      </c>
      <c r="H15" s="454" t="str">
        <f>IF(ISNUMBER(((NºAsuntos!G15/NºAsuntos!E15)-Datos!BD15)/Datos!BD15),((NºAsuntos!G15/NºAsuntos!E15)-Datos!BD15)/Datos!BD15," - ")</f>
        <v xml:space="preserve"> - </v>
      </c>
      <c r="I15" s="455" t="str">
        <f>IF(ISNUMBER(((NºAsuntos!I15/NºAsuntos!G15)-Datos!BE15)/Datos!BE15),((NºAsuntos!I15/NºAsuntos!G15)-Datos!BE15)/Datos!BE15," - ")</f>
        <v xml:space="preserve"> - </v>
      </c>
      <c r="J15" s="460" t="str">
        <f>IF(ISNUMBER((('Resol  Asuntos'!D15/NºAsuntos!G15)-Datos!BF15)/Datos!BF15),(('Resol  Asuntos'!D15/NºAsuntos!G15)-Datos!BF15)/Datos!BF15," - ")</f>
        <v xml:space="preserve"> - </v>
      </c>
      <c r="K15" s="461" t="str">
        <f>IF(ISNUMBER((((NºAsuntos!C15+NºAsuntos!E15)/NºAsuntos!G15)-Datos!BG15)/Datos!BG15),(((NºAsuntos!C15+NºAsuntos!E15)/NºAsuntos!G15)-Datos!BG15)/Datos!BG15," - ")</f>
        <v xml:space="preserve"> - </v>
      </c>
    </row>
    <row r="16" spans="1:11" ht="21">
      <c r="A16" s="401" t="str">
        <f>Datos!A16</f>
        <v xml:space="preserve">Jdos. 1ª Instª. e Instr./Secc. Civil y de Inst. TI                      </v>
      </c>
      <c r="B16" s="454">
        <f>IF(ISNUMBER(
   IF(D_I="SI",(Datos!I16-Datos!S16)/Datos!S16,(Datos!I16+Datos!AC16-(Datos!S16+Datos!AK16))/(Datos!S16+Datos!AK16))
     ),IF(D_I="SI",(Datos!I16-Datos!S16)/Datos!S16,(Datos!I16+Datos!AC16-(Datos!S16+Datos!AK16))/(Datos!S16+Datos!AK16))," - ")</f>
        <v>2.9078665442301806E-2</v>
      </c>
      <c r="C16" s="455">
        <f>IF(ISNUMBER(
   IF(D_I="SI",(Datos!J16-Datos!T16)/Datos!T16,(Datos!J16+Datos!AD16-(Datos!T16+Datos!AL16))/(Datos!T16+Datos!AL16))
     ),IF(D_I="SI",(Datos!J16-Datos!T16)/Datos!T16,(Datos!J16+Datos!AD16-(Datos!T16+Datos!AL16))/(Datos!T16+Datos!AL16))," - ")</f>
        <v>-4.4370493621741546E-3</v>
      </c>
      <c r="D16" s="455">
        <f>IF(ISNUMBER(
   IF(D_I="SI",(Datos!K16-Datos!U16)/Datos!U16,(Datos!K16+Datos!AE16-(Datos!U16+Datos!AM16))/(Datos!U16+Datos!AM16))
     ),IF(D_I="SI",(Datos!K16-Datos!U16)/Datos!U16,(Datos!K16+Datos!AE16-(Datos!U16+Datos!AM16))/(Datos!U16+Datos!AM16))," - ")</f>
        <v>-0.12189616252821671</v>
      </c>
      <c r="E16" s="455">
        <f>IF(ISNUMBER(
   IF(D_I="SI",(Datos!L16-Datos!V16)/Datos!V16,(Datos!L16+Datos!AF16-(Datos!V16+Datos!AN16))/(Datos!V16+Datos!AN16))
     ),IF(D_I="SI",(Datos!L16-Datos!V16)/Datos!V16,(Datos!L16+Datos!AF16-(Datos!V16+Datos!AN16))/(Datos!V16+Datos!AN16))," - ")</f>
        <v>9.4864245992803409E-2</v>
      </c>
      <c r="F16" s="455">
        <f>IF(ISNUMBER((Datos!M16-Datos!W16)/Datos!W16),(Datos!M16-Datos!W16)/Datos!W16," - ")</f>
        <v>-8.1560283687943269E-2</v>
      </c>
      <c r="G16" s="456">
        <f>IF(ISNUMBER((Datos!N16-Datos!X16)/Datos!X16),(Datos!N16-Datos!X16)/Datos!X16," - ")</f>
        <v>-0.29561403508771927</v>
      </c>
      <c r="H16" s="454">
        <f>IF(ISNUMBER(((NºAsuntos!G16/NºAsuntos!E16)-Datos!BD16)/Datos!BD16),((NºAsuntos!G16/NºAsuntos!E16)-Datos!BD16)/Datos!BD16," - ")</f>
        <v>-0.11798260782082155</v>
      </c>
      <c r="I16" s="455">
        <f>IF(ISNUMBER(((NºAsuntos!I16/NºAsuntos!G16)-Datos!BE16)/Datos!BE16),((NºAsuntos!I16/NºAsuntos!G16)-Datos!BE16)/Datos!BE16," - ")</f>
        <v>0.24685054235170159</v>
      </c>
      <c r="J16" s="460">
        <f>IF(ISNUMBER((('Resol  Asuntos'!D16/NºAsuntos!G16)-Datos!BF16)/Datos!BF16),(('Resol  Asuntos'!D16/NºAsuntos!G16)-Datos!BF16)/Datos!BF16," - ")</f>
        <v>4.593520392349916E-2</v>
      </c>
      <c r="K16" s="461">
        <f>IF(ISNUMBER((((NºAsuntos!C16+NºAsuntos!E16)/NºAsuntos!G16)-Datos!BG16)/Datos!BG16),(((NºAsuntos!C16+NºAsuntos!E16)/NºAsuntos!G16)-Datos!BG16)/Datos!BG16," - ")</f>
        <v>0.15835931914634707</v>
      </c>
    </row>
    <row r="17" spans="1:12" ht="21.75" thickBot="1">
      <c r="A17" s="401" t="str">
        <f>Datos!A17</f>
        <v>Jdos. Violencia contra la mujer/Secc Viol. TI.</v>
      </c>
      <c r="B17" s="454">
        <f>IF(ISNUMBER(
   IF(D_I="SI",(Datos!I17-Datos!S17)/Datos!S17,(Datos!I17+Datos!AC17-(Datos!S17+Datos!AK17))/(Datos!S17+Datos!AK17))
     ),IF(D_I="SI",(Datos!I17-Datos!S17)/Datos!S17,(Datos!I17+Datos!AC17-(Datos!S17+Datos!AK17))/(Datos!S17+Datos!AK17))," - ")</f>
        <v>-0.35897435897435898</v>
      </c>
      <c r="C17" s="455">
        <f>IF(ISNUMBER(
   IF(D_I="SI",(Datos!J17-Datos!T17)/Datos!T17,(Datos!J17+Datos!AD17-(Datos!T17+Datos!AL17))/(Datos!T17+Datos!AL17))
     ),IF(D_I="SI",(Datos!J17-Datos!T17)/Datos!T17,(Datos!J17+Datos!AD17-(Datos!T17+Datos!AL17))/(Datos!T17+Datos!AL17))," - ")</f>
        <v>-0.38372093023255816</v>
      </c>
      <c r="D17" s="455">
        <f>IF(ISNUMBER(
   IF(D_I="SI",(Datos!K17-Datos!U17)/Datos!U17,(Datos!K17+Datos!AE17-(Datos!U17+Datos!AM17))/(Datos!U17+Datos!AM17))
     ),IF(D_I="SI",(Datos!K17-Datos!U17)/Datos!U17,(Datos!K17+Datos!AE17-(Datos!U17+Datos!AM17))/(Datos!U17+Datos!AM17))," - ")</f>
        <v>-0.30890052356020942</v>
      </c>
      <c r="E17" s="455">
        <f>IF(ISNUMBER(
   IF(D_I="SI",(Datos!L17-Datos!V17)/Datos!V17,(Datos!L17+Datos!AF17-(Datos!V17+Datos!AN17))/(Datos!V17+Datos!AN17))
     ),IF(D_I="SI",(Datos!L17-Datos!V17)/Datos!V17,(Datos!L17+Datos!AF17-(Datos!V17+Datos!AN17))/(Datos!V17+Datos!AN17))," - ")</f>
        <v>-0.50505050505050508</v>
      </c>
      <c r="F17" s="455">
        <f>IF(ISNUMBER((Datos!M17-Datos!W17)/Datos!W17),(Datos!M17-Datos!W17)/Datos!W17," - ")</f>
        <v>0.2857142857142857</v>
      </c>
      <c r="G17" s="456">
        <f>IF(ISNUMBER((Datos!N17-Datos!X17)/Datos!X17),(Datos!N17-Datos!X17)/Datos!X17," - ")</f>
        <v>-0.37931034482758619</v>
      </c>
      <c r="H17" s="454">
        <f>IF(ISNUMBER(((NºAsuntos!G17/NºAsuntos!E17)-Datos!BD17)/Datos!BD17),((NºAsuntos!G17/NºAsuntos!E17)-Datos!BD17)/Datos!BD17," - ")</f>
        <v>0.1214066976192828</v>
      </c>
      <c r="I17" s="455">
        <f>IF(ISNUMBER(((NºAsuntos!I17/NºAsuntos!G17)-Datos!BE17)/Datos!BE17),((NºAsuntos!I17/NºAsuntos!G17)-Datos!BE17)/Datos!BE17," - ")</f>
        <v>-0.28382307927762479</v>
      </c>
      <c r="J17" s="460">
        <f>IF(ISNUMBER((('Resol  Asuntos'!D17/NºAsuntos!G17)-Datos!BF17)/Datos!BF17),(('Resol  Asuntos'!D17/NºAsuntos!G17)-Datos!BF17)/Datos!BF17," - ")</f>
        <v>0.86038961038961037</v>
      </c>
      <c r="K17" s="461">
        <f>IF(ISNUMBER((((NºAsuntos!C17+NºAsuntos!E17)/NºAsuntos!G17)-Datos!BG17)/Datos!BG17),(((NºAsuntos!C17+NºAsuntos!E17)/NºAsuntos!G17)-Datos!BG17)/Datos!BG17," - ")</f>
        <v>-9.3766383558771163E-2</v>
      </c>
    </row>
    <row r="18" spans="1:12" ht="14.25" thickTop="1" thickBot="1">
      <c r="A18" s="847" t="str">
        <f>Datos!A18</f>
        <v>TOTAL</v>
      </c>
      <c r="B18" s="853">
        <f>IF(ISNUMBER(
   IF(Criterios!B14="SI",(Datos!I18-Datos!S18)/Datos!S18,(Datos!I18+Datos!AC18-(Datos!S18+Datos!AK18))/(Datos!S18+Datos!AK18))
     ),IF(Criterios!B14="SI",(Datos!I18-Datos!S18)/Datos!S18,(Datos!I18+Datos!AC18-(Datos!S18+Datos!AK18))/(Datos!S18+Datos!AK18))," - ")</f>
        <v>1.5661938534278958E-2</v>
      </c>
      <c r="C18" s="854">
        <f>IF(ISNUMBER(
   IF(Criterios!B14="SI",(Datos!J18-Datos!T18)/Datos!T18,(Datos!J18+Datos!AD18-(Datos!T18+Datos!AL18))/(Datos!T18+Datos!AL18))
     ),IF(Criterios!B14="SI",(Datos!J18-Datos!T18)/Datos!T18,(Datos!J18+Datos!AD18-(Datos!T18+Datos!AL18))/(Datos!T18+Datos!AL18))," - ")</f>
        <v>-3.7468354430379748E-2</v>
      </c>
      <c r="D18" s="854">
        <f>IF(ISNUMBER(
   IF(Criterios!B14="SI",(Datos!K18-Datos!U18)/Datos!U18,(Datos!K18+Datos!AE18-(Datos!U18+Datos!AM18))/(Datos!U18+Datos!AM18))
     ),IF(Criterios!B14="SI",(Datos!K18-Datos!U18)/Datos!U18,(Datos!K18+Datos!AE18-(Datos!U18+Datos!AM18))/(Datos!U18+Datos!AM18))," - ")</f>
        <v>-0.14009169638308711</v>
      </c>
      <c r="E18" s="854">
        <f>IF(ISNUMBER(
   IF(Criterios!B14="SI",(Datos!L18-Datos!V18)/Datos!V18,(Datos!L18+Datos!AF18-(Datos!V18+Datos!AN18))/(Datos!V18+Datos!AN18))
     ),IF(Criterios!B14="SI",(Datos!L18-Datos!V18)/Datos!V18,(Datos!L18+Datos!AF18-(Datos!V18+Datos!AN18))/(Datos!V18+Datos!AN18))," - ")</f>
        <v>7.6045627376425853E-2</v>
      </c>
      <c r="F18" s="855">
        <f>IF(ISNUMBER((Datos!M18-Datos!W18)/Datos!W18),(Datos!M18-Datos!W18)/Datos!W18," - ")</f>
        <v>-6.4189189189189186E-2</v>
      </c>
      <c r="G18" s="856">
        <f>IF(ISNUMBER((Datos!N18-Datos!X18)/Datos!X18),(Datos!N18-Datos!X18)/Datos!X18," - ")</f>
        <v>-0.303343949044586</v>
      </c>
      <c r="H18" s="856">
        <f>IF(ISNUMBER(((NºAsuntos!G18/NºAsuntos!E18)-Datos!BD18)/Datos!BD18),((NºAsuntos!G18/NºAsuntos!E18)-Datos!BD18)/Datos!BD18," - ")</f>
        <v>-0.10661814853056131</v>
      </c>
      <c r="I18" s="856">
        <f>IF(ISNUMBER(((NºAsuntos!I18/NºAsuntos!G18)-Datos!BE18)/Datos!BE18),((NºAsuntos!I18/NºAsuntos!G18)-Datos!BE18)/Datos!BE18," - ")</f>
        <v>0.25134926927720613</v>
      </c>
      <c r="J18" s="856">
        <f>IF(ISNUMBER((('Resol  Asuntos'!D18/NºAsuntos!G18)-Datos!BF18)/Datos!BF18),(('Resol  Asuntos'!D18/NºAsuntos!G18)-Datos!BF18)/Datos!BF18," - ")</f>
        <v>8.8268140771102829E-2</v>
      </c>
      <c r="K18" s="856">
        <f>IF(ISNUMBER((((NºAsuntos!C18+NºAsuntos!E18)/NºAsuntos!G18)-Datos!BG18)/Datos!BG18),(((NºAsuntos!C18+NºAsuntos!E18)/NºAsuntos!G18)-Datos!BG18)/Datos!BG18," - ")</f>
        <v>0.15835764612659403</v>
      </c>
    </row>
    <row r="19" spans="1:12" ht="15.75" customHeight="1" thickTop="1" thickBot="1">
      <c r="A19" s="792" t="str">
        <f>Datos!A19</f>
        <v>TOTAL JURISDICCIONES</v>
      </c>
      <c r="B19" s="800">
        <f>IF(ISNUMBER(
   IF(J_V="SI",(Datos!I19-Datos!S19)/Datos!S19,(Datos!I19+Datos!Y19-(Datos!S19+Datos!AG19))/(Datos!S19+Datos!AG19))
     ),IF(J_V="SI",(Datos!I19-Datos!S19)/Datos!S19,(Datos!I19+Datos!Y19-(Datos!S19+Datos!AG19))/(Datos!S19+Datos!AG19))," - ")</f>
        <v>4.2498517493575805E-2</v>
      </c>
      <c r="C19" s="801">
        <f>IF(ISNUMBER(
   IF(J_V="SI",(Datos!J19-Datos!T19)/Datos!T19,(Datos!J19+Datos!Z19-(Datos!T19+Datos!AH19))/(Datos!T19+Datos!AH19))
     ),IF(J_V="SI",(Datos!J19-Datos!T19)/Datos!T19,(Datos!J19+Datos!Z19-(Datos!T19+Datos!AH19))/(Datos!T19+Datos!AH19))," - ")</f>
        <v>-5.0751879699248117E-2</v>
      </c>
      <c r="D19" s="801">
        <f>IF(ISNUMBER(
   IF(J_V="SI",(Datos!K19-Datos!U19)/Datos!U19,(Datos!K19+Datos!AA19-(Datos!U19+Datos!AI19))/(Datos!U19+Datos!AI19))
     ),IF(J_V="SI",(Datos!K19-Datos!U19)/Datos!U19,(Datos!K19+Datos!AA19-(Datos!U19+Datos!AI19))/(Datos!U19+Datos!AI19))," - ")</f>
        <v>0.18604004449388209</v>
      </c>
      <c r="E19" s="801">
        <f>IF(ISNUMBER(
   IF(J_V="SI",(Datos!L19-Datos!V19)/Datos!V19,(Datos!L19+Datos!AB19-(Datos!V19+Datos!AJ19))/(Datos!V19+Datos!AJ19))
     ),IF(J_V="SI",(Datos!L19-Datos!V19)/Datos!V19,(Datos!L19+Datos!AB19-(Datos!V19+Datos!AJ19))/(Datos!V19+Datos!AJ19))," - ")</f>
        <v>-4.2450941129355227E-2</v>
      </c>
      <c r="F19" s="802">
        <f>IF(ISNUMBER((Datos!M19-Datos!W19)/Datos!W19),(Datos!M19-Datos!W19)/Datos!W19," - ")</f>
        <v>3.4139402560455195E-2</v>
      </c>
      <c r="G19" s="803">
        <f>IF(ISNUMBER((Datos!N19-Datos!X19)/Datos!X19),(Datos!N19-Datos!X19)/Datos!X19," - ")</f>
        <v>0.12525879917184266</v>
      </c>
      <c r="H19" s="804">
        <f>IF(ISNUMBER((Tasas!B19-Datos!BD19)/Datos!BD19),(Tasas!B19-Datos!BD19)/Datos!BD19," - ")</f>
        <v>0.24945208647672326</v>
      </c>
      <c r="I19" s="805">
        <f>IF(ISNUMBER((Tasas!C19-Datos!BE19)/Datos!BE19),(Tasas!C19-Datos!BE19)/Datos!BE19," - ")</f>
        <v>-0.19265031284904141</v>
      </c>
      <c r="J19" s="806">
        <f>IF(ISNUMBER((Tasas!D19-Datos!BF19)/Datos!BF19),(Tasas!D19-Datos!BF19)/Datos!BF19," - ")</f>
        <v>-0.36807821998767243</v>
      </c>
      <c r="K19" s="806">
        <f>IF(ISNUMBER((Tasas!E19-Datos!BG19)/Datos!BG19),(Tasas!E19-Datos!BG19)/Datos!BG19," - ")</f>
        <v>-0.14217839143588851</v>
      </c>
    </row>
    <row r="20" spans="1:12">
      <c r="A20" s="410"/>
      <c r="B20" s="410"/>
      <c r="C20" s="410"/>
      <c r="D20" s="410"/>
      <c r="E20" s="410"/>
    </row>
    <row r="21" spans="1:12" ht="70.5" customHeight="1">
      <c r="A21" s="1227" t="s">
        <v>152</v>
      </c>
      <c r="B21" s="1227"/>
      <c r="C21" s="1227"/>
      <c r="D21" s="1227"/>
      <c r="E21" s="1227"/>
      <c r="F21" s="1227"/>
      <c r="G21" s="1227"/>
      <c r="H21" s="1227"/>
      <c r="I21" s="1227"/>
      <c r="J21" s="1227"/>
      <c r="K21" s="1227"/>
    </row>
    <row r="22" spans="1:12">
      <c r="A22" s="1226"/>
      <c r="B22" s="1226"/>
      <c r="C22" s="412"/>
      <c r="D22" s="412"/>
      <c r="E22" s="412"/>
    </row>
    <row r="23" spans="1:12">
      <c r="A23" s="390" t="str">
        <f>Criterios!A4</f>
        <v>Fecha Informe: 17 mar. 2026</v>
      </c>
    </row>
    <row r="26" spans="1:12" ht="12.75" customHeight="1">
      <c r="A26" s="453"/>
      <c r="B26" s="453"/>
      <c r="C26" s="453"/>
      <c r="D26" s="453"/>
      <c r="E26" s="453"/>
      <c r="F26" s="453"/>
      <c r="G26" s="453"/>
      <c r="H26" s="453"/>
      <c r="I26" s="453"/>
      <c r="J26" s="453"/>
      <c r="K26" s="453"/>
      <c r="L26" s="453"/>
    </row>
    <row r="27" spans="1:12" ht="12.75" customHeight="1">
      <c r="A27" s="453"/>
      <c r="B27" s="453"/>
      <c r="C27" s="453"/>
      <c r="D27" s="453"/>
      <c r="E27" s="453"/>
      <c r="F27" s="453"/>
      <c r="G27" s="453"/>
      <c r="H27" s="453"/>
      <c r="I27" s="453"/>
      <c r="J27" s="453"/>
      <c r="K27" s="453"/>
      <c r="L27" s="453"/>
    </row>
    <row r="28" spans="1:12" ht="12.75" customHeight="1">
      <c r="A28" s="453"/>
      <c r="B28" s="453"/>
      <c r="C28" s="453"/>
      <c r="D28" s="453"/>
      <c r="E28" s="453"/>
      <c r="F28" s="453"/>
      <c r="G28" s="453"/>
      <c r="H28" s="453"/>
      <c r="I28" s="453"/>
      <c r="J28" s="453"/>
      <c r="K28" s="453"/>
      <c r="L28" s="453"/>
    </row>
    <row r="29" spans="1:12" ht="12.75" customHeight="1">
      <c r="A29" s="453"/>
      <c r="B29" s="453"/>
      <c r="C29" s="453"/>
      <c r="D29" s="453"/>
      <c r="E29" s="453"/>
      <c r="F29" s="453"/>
      <c r="G29" s="453"/>
      <c r="H29" s="453"/>
      <c r="I29" s="453"/>
      <c r="J29" s="453"/>
      <c r="K29" s="453"/>
      <c r="L29" s="453"/>
    </row>
  </sheetData>
  <sheetProtection algorithmName="SHA-512" hashValue="HD8Ca2CGmVhp8zteNZP8bBK658ucj//LTgmesyYARuVCT7lsQtnS7y394PA41BgS6bNprb0J0FvBCeSwoOuYmA==" saltValue="u8vCJs3GQ094bdDXwJ1WpQ==" spinCount="100000" sheet="1" objects="1" scenarios="1"/>
  <mergeCells count="13">
    <mergeCell ref="A22:B22"/>
    <mergeCell ref="A5:A6"/>
    <mergeCell ref="A21:K21"/>
    <mergeCell ref="G5:G7"/>
    <mergeCell ref="F5:F7"/>
    <mergeCell ref="H5:H7"/>
    <mergeCell ref="I5:I7"/>
    <mergeCell ref="J5:J7"/>
    <mergeCell ref="K5:K7"/>
    <mergeCell ref="E5:E7"/>
    <mergeCell ref="D5:D7"/>
    <mergeCell ref="C5:C7"/>
    <mergeCell ref="B5:B7"/>
  </mergeCells>
  <phoneticPr fontId="0" type="noConversion"/>
  <printOptions horizontalCentered="1"/>
  <pageMargins left="0.74803149606299213" right="0.74803149606299213" top="1.1811023622047245" bottom="0.39370078740157483" header="0" footer="0"/>
  <pageSetup paperSize="9" scale="51" orientation="landscape" r:id="rId1"/>
  <headerFooter alignWithMargins="0">
    <oddFooter>&amp;CPágina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indexed="45"/>
    <pageSetUpPr fitToPage="1"/>
  </sheetPr>
  <dimension ref="A1:G28"/>
  <sheetViews>
    <sheetView zoomScale="85" zoomScaleNormal="85" workbookViewId="0"/>
  </sheetViews>
  <sheetFormatPr baseColWidth="10" defaultColWidth="11.42578125" defaultRowHeight="12.75"/>
  <cols>
    <col min="1" max="1" width="32" style="371" customWidth="1"/>
    <col min="2" max="2" width="12.7109375" style="371" bestFit="1" customWidth="1"/>
    <col min="3" max="4" width="12.28515625" style="371" customWidth="1"/>
    <col min="5" max="5" width="12.7109375" style="371" bestFit="1" customWidth="1"/>
    <col min="6" max="6" width="11.42578125" style="371"/>
    <col min="7" max="7" width="77.85546875" style="371" customWidth="1"/>
    <col min="8" max="16384" width="11.42578125" style="371"/>
  </cols>
  <sheetData>
    <row r="1" spans="1:7" ht="105" customHeight="1"/>
    <row r="2" spans="1:7" ht="42.75" customHeight="1">
      <c r="B2" s="388" t="str">
        <f>Criterios!A9 &amp;"  "&amp;Criterios!B9</f>
        <v>Tribunales de Justicia  CATALUÑA</v>
      </c>
    </row>
    <row r="3" spans="1:7" ht="19.5">
      <c r="A3" s="435" t="s">
        <v>12</v>
      </c>
      <c r="B3" s="390" t="str">
        <f>Criterios!A10 &amp;"  "&amp;Criterios!B10</f>
        <v>Provincias  BARCELONA</v>
      </c>
    </row>
    <row r="4" spans="1:7" ht="11.25" customHeight="1" thickBot="1">
      <c r="B4" s="390" t="str">
        <f>Criterios!A11 &amp;"  "&amp;Criterios!B11</f>
        <v>Resumenes por Partidos Judiciales  VIC</v>
      </c>
    </row>
    <row r="5" spans="1:7" ht="12.75" customHeight="1">
      <c r="A5" s="1209" t="str">
        <f>"Año:  " &amp;Criterios!B5 &amp; "    Trimestre   " &amp;Criterios!D5 &amp; " al " &amp;Criterios!D6</f>
        <v>Año:  2025    Trimestre   4 al 4</v>
      </c>
      <c r="B5" s="1203" t="s">
        <v>95</v>
      </c>
      <c r="C5" s="1203" t="s">
        <v>96</v>
      </c>
      <c r="D5" s="1203" t="s">
        <v>97</v>
      </c>
      <c r="E5" s="1203" t="s">
        <v>98</v>
      </c>
      <c r="G5" s="462"/>
    </row>
    <row r="6" spans="1:7" ht="12.75" customHeight="1">
      <c r="A6" s="1210"/>
      <c r="B6" s="1239"/>
      <c r="C6" s="1239"/>
      <c r="D6" s="1239"/>
      <c r="E6" s="1239"/>
      <c r="G6" s="462"/>
    </row>
    <row r="7" spans="1:7" ht="30.75" customHeight="1" thickBot="1">
      <c r="A7" s="436" t="str">
        <f>Datos!A7</f>
        <v>COMPETENCIAS</v>
      </c>
      <c r="B7" s="1240"/>
      <c r="C7" s="1240"/>
      <c r="D7" s="1240"/>
      <c r="E7" s="1240"/>
      <c r="G7" s="462"/>
    </row>
    <row r="8" spans="1:7">
      <c r="A8" s="395" t="str">
        <f>Datos!A8</f>
        <v>Jurisdicción Civil ( 1 ):</v>
      </c>
      <c r="B8" s="437"/>
      <c r="C8" s="438"/>
      <c r="D8" s="439"/>
      <c r="E8" s="440"/>
      <c r="G8" s="462"/>
    </row>
    <row r="9" spans="1:7" ht="14.25" customHeight="1">
      <c r="A9" s="401" t="str">
        <f>Datos!A9</f>
        <v xml:space="preserve">Jdos. 1ª Instancia   </v>
      </c>
      <c r="B9" s="441" t="str">
        <f>IF(ISNUMBER(NºAsuntos!G9/NºAsuntos!E9),NºAsuntos!G9/NºAsuntos!E9," - ")</f>
        <v xml:space="preserve"> - </v>
      </c>
      <c r="C9" s="442" t="str">
        <f>IF(ISNUMBER(NºAsuntos!I9/NºAsuntos!G9),NºAsuntos!I9/NºAsuntos!G9," - ")</f>
        <v xml:space="preserve"> - </v>
      </c>
      <c r="D9" s="443" t="str">
        <f>IF(ISNUMBER('Resol  Asuntos'!D9/NºAsuntos!G9),'Resol  Asuntos'!D9/NºAsuntos!G9," - ")</f>
        <v xml:space="preserve"> - </v>
      </c>
      <c r="E9" s="444" t="str">
        <f>IF(ISNUMBER((NºAsuntos!C9+NºAsuntos!E9)/NºAsuntos!G9),(NºAsuntos!C9+NºAsuntos!E9)/NºAsuntos!G9," - ")</f>
        <v xml:space="preserve"> - </v>
      </c>
      <c r="G9" s="462"/>
    </row>
    <row r="10" spans="1:7" ht="21">
      <c r="A10" s="401" t="str">
        <f>Datos!A10</f>
        <v>Jdos. Violencia contra la mujer/Secc Viol. TI.</v>
      </c>
      <c r="B10" s="441">
        <f>IF(ISNUMBER(NºAsuntos!G10/NºAsuntos!E10),NºAsuntos!G10/NºAsuntos!E10," - ")</f>
        <v>1.0909090909090908</v>
      </c>
      <c r="C10" s="442">
        <f>IF(ISNUMBER(NºAsuntos!I10/NºAsuntos!G10),NºAsuntos!I10/NºAsuntos!G10," - ")</f>
        <v>8.0833333333333339</v>
      </c>
      <c r="D10" s="443">
        <f>IF(ISNUMBER('Resol  Asuntos'!D10/NºAsuntos!G10),'Resol  Asuntos'!D10/NºAsuntos!G10," - ")</f>
        <v>0.66666666666666663</v>
      </c>
      <c r="E10" s="444">
        <f>IF(ISNUMBER((NºAsuntos!C10+NºAsuntos!E10)/NºAsuntos!G10),(NºAsuntos!C10+NºAsuntos!E10)/NºAsuntos!G10," - ")</f>
        <v>9.0833333333333339</v>
      </c>
      <c r="G10" s="462"/>
    </row>
    <row r="11" spans="1:7">
      <c r="A11" s="401" t="str">
        <f>Datos!A11</f>
        <v xml:space="preserve">Jdos. Familia                                   </v>
      </c>
      <c r="B11" s="441" t="str">
        <f>IF(ISNUMBER(NºAsuntos!G11/NºAsuntos!E11),NºAsuntos!G11/NºAsuntos!E11," - ")</f>
        <v xml:space="preserve"> - </v>
      </c>
      <c r="C11" s="442" t="str">
        <f>IF(ISNUMBER(NºAsuntos!I11/NºAsuntos!G11),NºAsuntos!I11/NºAsuntos!G11," - ")</f>
        <v xml:space="preserve"> - </v>
      </c>
      <c r="D11" s="443" t="str">
        <f>IF(ISNUMBER('Resol  Asuntos'!D11/NºAsuntos!G11),'Resol  Asuntos'!D11/NºAsuntos!G11," - ")</f>
        <v xml:space="preserve"> - </v>
      </c>
      <c r="E11" s="444" t="str">
        <f>IF(ISNUMBER((NºAsuntos!C11+NºAsuntos!E11)/NºAsuntos!G11),(NºAsuntos!C11+NºAsuntos!E11)/NºAsuntos!G11," - ")</f>
        <v xml:space="preserve"> - </v>
      </c>
      <c r="G11" s="462"/>
    </row>
    <row r="12" spans="1:7" ht="21.75" thickBot="1">
      <c r="A12" s="401" t="str">
        <f>Datos!A12</f>
        <v xml:space="preserve">Jdos. 1ª Instª. e Instr./Secc. Civil y de Inst. TI                      </v>
      </c>
      <c r="B12" s="441">
        <f>IF(ISNUMBER(NºAsuntos!G12/NºAsuntos!E12),NºAsuntos!G12/NºAsuntos!E12," - ")</f>
        <v>1.5804066543438078</v>
      </c>
      <c r="C12" s="442">
        <f>IF(ISNUMBER(NºAsuntos!I12/NºAsuntos!G12),NºAsuntos!I12/NºAsuntos!G12," - ")</f>
        <v>2.3668615984405457</v>
      </c>
      <c r="D12" s="443">
        <f>IF(ISNUMBER('Resol  Asuntos'!D12/NºAsuntos!G12),'Resol  Asuntos'!D12/NºAsuntos!G12," - ")</f>
        <v>0.17231968810916179</v>
      </c>
      <c r="E12" s="444">
        <f>IF(ISNUMBER((NºAsuntos!C12+NºAsuntos!E12)/NºAsuntos!G12),(NºAsuntos!C12+NºAsuntos!E12)/NºAsuntos!G12," - ")</f>
        <v>3.3668615984405457</v>
      </c>
      <c r="G12" s="462"/>
    </row>
    <row r="13" spans="1:7" ht="14.25" thickTop="1" thickBot="1">
      <c r="A13" s="847" t="str">
        <f>Datos!A13</f>
        <v>TOTAL</v>
      </c>
      <c r="B13" s="857">
        <f>IF(ISNUMBER(NºAsuntos!G13/NºAsuntos!E13),NºAsuntos!G13/NºAsuntos!E13," - ")</f>
        <v>1.5771113831089352</v>
      </c>
      <c r="C13" s="858">
        <f>IF(ISNUMBER(NºAsuntos!I13/NºAsuntos!G13),NºAsuntos!I13/NºAsuntos!G13," - ")</f>
        <v>2.3934807916181606</v>
      </c>
      <c r="D13" s="859">
        <f>IF(ISNUMBER('Resol  Asuntos'!D13/NºAsuntos!G13),'Resol  Asuntos'!D13/NºAsuntos!G13," - ")</f>
        <v>0.17462165308498254</v>
      </c>
      <c r="E13" s="860">
        <f>IF(ISNUMBER((NºAsuntos!C13+NºAsuntos!E13)/NºAsuntos!G13),(NºAsuntos!C13+NºAsuntos!E13)/NºAsuntos!G13," - ")</f>
        <v>3.3934807916181606</v>
      </c>
      <c r="G13" s="462"/>
    </row>
    <row r="14" spans="1:7" ht="13.5" thickTop="1">
      <c r="A14" s="395" t="str">
        <f>Datos!A14</f>
        <v xml:space="preserve">Jurisdicción Penal ( 2 ):                      </v>
      </c>
      <c r="B14" s="445"/>
      <c r="C14" s="446"/>
      <c r="D14" s="406"/>
      <c r="E14" s="447"/>
      <c r="G14" s="462"/>
    </row>
    <row r="15" spans="1:7">
      <c r="A15" s="401" t="str">
        <f>Datos!A15</f>
        <v xml:space="preserve">Jdos. Instrucción                               </v>
      </c>
      <c r="B15" s="441" t="str">
        <f>IF(ISNUMBER(NºAsuntos!G15/NºAsuntos!E15),NºAsuntos!G15/NºAsuntos!E15," - ")</f>
        <v xml:space="preserve"> - </v>
      </c>
      <c r="C15" s="442" t="str">
        <f>IF(ISNUMBER(NºAsuntos!I15/NºAsuntos!G15),NºAsuntos!I15/NºAsuntos!G15," - ")</f>
        <v xml:space="preserve"> - </v>
      </c>
      <c r="D15" s="443" t="str">
        <f>IF(ISNUMBER('Resol  Asuntos'!D15/NºAsuntos!G15),'Resol  Asuntos'!D15/NºAsuntos!G15," - ")</f>
        <v xml:space="preserve"> - </v>
      </c>
      <c r="E15" s="444" t="str">
        <f>IF(ISNUMBER((NºAsuntos!C15+NºAsuntos!E15)/NºAsuntos!G15),(NºAsuntos!C15+NºAsuntos!E15)/NºAsuntos!G15," - ")</f>
        <v xml:space="preserve"> - </v>
      </c>
      <c r="G15" s="462"/>
    </row>
    <row r="16" spans="1:7" ht="21">
      <c r="A16" s="401" t="str">
        <f>Datos!A16</f>
        <v xml:space="preserve">Jdos. 1ª Instª. e Instr./Secc. Civil y de Inst. TI                      </v>
      </c>
      <c r="B16" s="441">
        <f>IF(ISNUMBER(NºAsuntos!G16/NºAsuntos!E16),NºAsuntos!G16/NºAsuntos!E16," - ")</f>
        <v>0.86685236768802232</v>
      </c>
      <c r="C16" s="442">
        <f>IF(ISNUMBER(NºAsuntos!I16/NºAsuntos!G16),NºAsuntos!I16/NºAsuntos!G16," - ")</f>
        <v>2.1510282776349614</v>
      </c>
      <c r="D16" s="443">
        <f>IF(ISNUMBER('Resol  Asuntos'!D16/NºAsuntos!G16),'Resol  Asuntos'!D16/NºAsuntos!G16," - ")</f>
        <v>0.16645244215938304</v>
      </c>
      <c r="E16" s="444">
        <f>IF(ISNUMBER((NºAsuntos!C16+NºAsuntos!E16)/NºAsuntos!G16),(NºAsuntos!C16+NºAsuntos!E16)/NºAsuntos!G16," - ")</f>
        <v>3.3142673521850901</v>
      </c>
      <c r="G16" s="462"/>
    </row>
    <row r="17" spans="1:7" ht="21.75" thickBot="1">
      <c r="A17" s="401" t="str">
        <f>Datos!A17</f>
        <v>Jdos. Violencia contra la mujer/Secc Viol. TI.</v>
      </c>
      <c r="B17" s="441">
        <f>IF(ISNUMBER(NºAsuntos!G17/NºAsuntos!E17),NºAsuntos!G17/NºAsuntos!E17," - ")</f>
        <v>1.2452830188679245</v>
      </c>
      <c r="C17" s="442">
        <f>IF(ISNUMBER(NºAsuntos!I17/NºAsuntos!G17),NºAsuntos!I17/NºAsuntos!G17," - ")</f>
        <v>0.37121212121212122</v>
      </c>
      <c r="D17" s="443">
        <f>IF(ISNUMBER('Resol  Asuntos'!D17/NºAsuntos!G17),'Resol  Asuntos'!D17/NºAsuntos!G17," - ")</f>
        <v>0.13636363636363635</v>
      </c>
      <c r="E17" s="444">
        <f>IF(ISNUMBER((NºAsuntos!C17+NºAsuntos!E17)/NºAsuntos!G17),(NºAsuntos!C17+NºAsuntos!E17)/NºAsuntos!G17," - ")</f>
        <v>1.3712121212121211</v>
      </c>
      <c r="G17" s="462"/>
    </row>
    <row r="18" spans="1:7" ht="14.25" thickTop="1" thickBot="1">
      <c r="A18" s="847" t="str">
        <f>Datos!A18</f>
        <v>TOTAL</v>
      </c>
      <c r="B18" s="857">
        <f>IF(ISNUMBER(NºAsuntos!G18/NºAsuntos!E18),NºAsuntos!G18/NºAsuntos!E18," - ")</f>
        <v>0.88795370857443445</v>
      </c>
      <c r="C18" s="858">
        <f>IF(ISNUMBER(NºAsuntos!I18/NºAsuntos!G18),NºAsuntos!I18/NºAsuntos!G18," - ")</f>
        <v>2.0118483412322274</v>
      </c>
      <c r="D18" s="861">
        <f>IF(ISNUMBER('Resol  Asuntos'!D18/NºAsuntos!G18),'Resol  Asuntos'!D18/NºAsuntos!G18," - ")</f>
        <v>0.1640995260663507</v>
      </c>
      <c r="E18" s="860">
        <f>IF(ISNUMBER((NºAsuntos!C18+NºAsuntos!E18)/NºAsuntos!G18),(NºAsuntos!C18+NºAsuntos!E18)/NºAsuntos!G18," - ")</f>
        <v>3.1623222748815167</v>
      </c>
      <c r="G18" s="462"/>
    </row>
    <row r="19" spans="1:7" ht="15.75" customHeight="1" thickTop="1" thickBot="1">
      <c r="A19" s="792" t="str">
        <f>Datos!A19</f>
        <v>TOTAL JURISDICCIONES</v>
      </c>
      <c r="B19" s="807">
        <f>IF(ISNUMBER(NºAsuntos!G19/NºAsuntos!E19),NºAsuntos!G19/NºAsuntos!E19," - ")</f>
        <v>1.2065063649222065</v>
      </c>
      <c r="C19" s="808">
        <f>IF(ISNUMBER(NºAsuntos!I19/NºAsuntos!G19),NºAsuntos!I19/NºAsuntos!G19," - ")</f>
        <v>2.2424384525205157</v>
      </c>
      <c r="D19" s="809">
        <f>IF(ISNUMBER('Resol  Asuntos'!D19/NºAsuntos!G19),'Resol  Asuntos'!D19/NºAsuntos!G19," - ")</f>
        <v>0.17045720984759671</v>
      </c>
      <c r="E19" s="810">
        <f>IF(ISNUMBER((NºAsuntos!C19+NºAsuntos!E19)/NºAsuntos!G19),(NºAsuntos!C19+NºAsuntos!E19)/NºAsuntos!G19," - ")</f>
        <v>3.3019929660023446</v>
      </c>
      <c r="G19" s="462"/>
    </row>
    <row r="20" spans="1:7">
      <c r="A20" s="410"/>
      <c r="B20" s="410"/>
      <c r="C20" s="410"/>
      <c r="G20" s="462"/>
    </row>
    <row r="21" spans="1:7">
      <c r="A21" s="412"/>
      <c r="B21" s="412"/>
      <c r="C21" s="412"/>
      <c r="G21" s="462"/>
    </row>
    <row r="22" spans="1:7">
      <c r="A22" s="1196"/>
      <c r="B22" s="1196"/>
      <c r="C22" s="1196"/>
      <c r="G22" s="462"/>
    </row>
    <row r="23" spans="1:7">
      <c r="A23" s="390" t="str">
        <f>Criterios!A4</f>
        <v>Fecha Informe: 17 mar. 2026</v>
      </c>
    </row>
    <row r="25" spans="1:7" ht="12" customHeight="1">
      <c r="A25" s="464"/>
      <c r="B25" s="464"/>
      <c r="C25" s="464"/>
      <c r="D25" s="464"/>
      <c r="E25" s="464"/>
    </row>
    <row r="26" spans="1:7" ht="13.5" customHeight="1">
      <c r="A26" s="464"/>
      <c r="B26" s="465"/>
      <c r="C26" s="465"/>
      <c r="D26" s="465"/>
      <c r="E26" s="465"/>
    </row>
    <row r="27" spans="1:7" ht="13.5" customHeight="1">
      <c r="A27" s="464"/>
      <c r="B27" s="465"/>
      <c r="C27" s="465"/>
      <c r="D27" s="465"/>
      <c r="E27" s="465"/>
    </row>
    <row r="28" spans="1:7" ht="13.5" customHeight="1">
      <c r="A28" s="464"/>
      <c r="B28" s="465"/>
      <c r="C28" s="465"/>
      <c r="D28" s="465"/>
      <c r="E28" s="465"/>
    </row>
  </sheetData>
  <sheetProtection algorithmName="SHA-512" hashValue="b5mOJk9zO0AOWE8bFNNZCu4rqkW2APZIwTsKvoURcjgg6+14d5JQIeCy+QJijlSTzkNtcnamcKYMPhQuP2pV7A==" saltValue="/kRC8c44pE+/b83ZIZhIeQ==" spinCount="100000" sheet="1" objects="1" scenarios="1"/>
  <mergeCells count="6">
    <mergeCell ref="D5:D7"/>
    <mergeCell ref="E5:E7"/>
    <mergeCell ref="A22:C22"/>
    <mergeCell ref="A5:A6"/>
    <mergeCell ref="B5:B7"/>
    <mergeCell ref="C5:C7"/>
  </mergeCells>
  <phoneticPr fontId="0" type="noConversion"/>
  <printOptions horizontalCentered="1"/>
  <pageMargins left="0.74803149606299213" right="0.74803149606299213" top="0.98425196850393704" bottom="0.39370078740157483" header="0" footer="0"/>
  <pageSetup paperSize="9" scale="47" orientation="landscape" r:id="rId1"/>
  <headerFooter alignWithMargins="0">
    <oddFooter>&amp;CPágina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indexed="41"/>
  </sheetPr>
  <dimension ref="A2:BM32"/>
  <sheetViews>
    <sheetView topLeftCell="C1" zoomScale="85" zoomScaleNormal="85" workbookViewId="0">
      <selection activeCell="E68" sqref="E68"/>
    </sheetView>
  </sheetViews>
  <sheetFormatPr baseColWidth="10" defaultRowHeight="12.75"/>
  <cols>
    <col min="1" max="2" width="9.42578125" style="174" hidden="1" customWidth="1"/>
    <col min="3" max="3" width="37.28515625" bestFit="1" customWidth="1"/>
    <col min="4" max="4" width="7.42578125" customWidth="1"/>
    <col min="5" max="5" width="15.5703125" customWidth="1"/>
    <col min="6" max="6" width="15.85546875" customWidth="1"/>
    <col min="7" max="7" width="13.5703125" hidden="1" customWidth="1"/>
    <col min="8" max="8" width="14" customWidth="1"/>
    <col min="9" max="9" width="14.42578125" customWidth="1"/>
    <col min="10" max="11" width="14.28515625" customWidth="1"/>
    <col min="12" max="12" width="14.7109375" customWidth="1"/>
    <col min="13" max="18" width="14.28515625" customWidth="1"/>
    <col min="19" max="19" width="12.85546875" customWidth="1"/>
    <col min="20" max="20" width="14.28515625" customWidth="1"/>
    <col min="21" max="21" width="13.140625" customWidth="1"/>
    <col min="22" max="22" width="13.7109375" customWidth="1"/>
    <col min="23" max="23" width="16.28515625" bestFit="1" customWidth="1"/>
    <col min="24" max="30" width="16.28515625" customWidth="1"/>
    <col min="31" max="31" width="12.5703125" customWidth="1"/>
    <col min="32" max="34" width="13" customWidth="1"/>
    <col min="35" max="35" width="12.85546875" customWidth="1"/>
    <col min="38" max="38" width="12.42578125" customWidth="1"/>
    <col min="39" max="39" width="12.28515625" customWidth="1"/>
    <col min="41" max="41" width="13" customWidth="1"/>
    <col min="42" max="42" width="16.140625" customWidth="1"/>
    <col min="43" max="44" width="14.5703125" customWidth="1"/>
    <col min="45" max="45" width="16.5703125" hidden="1" customWidth="1"/>
    <col min="46" max="47" width="15.5703125" hidden="1" customWidth="1"/>
    <col min="48" max="49" width="13.42578125" customWidth="1"/>
    <col min="50" max="50" width="14.85546875" customWidth="1"/>
    <col min="51" max="51" width="13.7109375" hidden="1" customWidth="1"/>
    <col min="52" max="52" width="13" style="470" hidden="1" customWidth="1"/>
    <col min="56" max="57" width="11.42578125" customWidth="1"/>
    <col min="58" max="65" width="11.42578125" hidden="1" customWidth="1"/>
    <col min="66" max="66" width="11.42578125" customWidth="1"/>
  </cols>
  <sheetData>
    <row r="2" spans="1:65" ht="16.5" customHeight="1">
      <c r="C2" s="264"/>
      <c r="D2" s="264"/>
      <c r="E2" s="261"/>
      <c r="F2" s="261" t="str">
        <f>Criterios!A9 &amp;"  "&amp;Criterios!B9</f>
        <v>Tribunales de Justicia  CATALUÑA</v>
      </c>
      <c r="G2" s="262"/>
      <c r="H2" s="261"/>
      <c r="I2" s="261"/>
      <c r="J2" s="261"/>
      <c r="K2" s="261"/>
      <c r="L2" s="261" t="str">
        <f>Criterios!A10 &amp;"  "&amp;Criterios!B10</f>
        <v>Provincias  BARCELONA</v>
      </c>
      <c r="N2" s="261" t="str">
        <f>Criterios!A11 &amp;"  "&amp;Criterios!B11</f>
        <v>Resumenes por Partidos Judiciales  VIC</v>
      </c>
      <c r="O2" s="261"/>
      <c r="P2" s="261"/>
      <c r="Q2" s="261"/>
      <c r="R2" s="261"/>
    </row>
    <row r="3" spans="1:65" ht="16.5" customHeight="1">
      <c r="C3" s="266"/>
      <c r="D3" s="266"/>
      <c r="G3" s="262"/>
      <c r="H3" s="261"/>
    </row>
    <row r="4" spans="1:65" ht="16.5" customHeight="1" thickBot="1">
      <c r="C4" s="95"/>
      <c r="D4" s="95"/>
      <c r="E4" s="329"/>
      <c r="F4" s="329"/>
      <c r="G4" s="329"/>
      <c r="H4" s="329"/>
      <c r="I4" s="329"/>
      <c r="J4" s="329"/>
      <c r="K4" s="329"/>
      <c r="L4" s="329"/>
      <c r="M4" s="329"/>
      <c r="N4" s="261"/>
      <c r="O4" s="261"/>
      <c r="P4" s="261"/>
      <c r="Q4" s="261"/>
      <c r="R4" s="261"/>
    </row>
    <row r="5" spans="1:65" ht="15.75" customHeight="1">
      <c r="A5" s="1284" t="s">
        <v>351</v>
      </c>
      <c r="B5" s="271"/>
      <c r="C5" s="1287" t="str">
        <f>"Año:  " &amp;Criterios!B$5 &amp; "          Trimestre   " &amp;Criterios!D$5 &amp; " al " &amp;Criterios!D$6</f>
        <v>Año:  2025          Trimestre   4 al 4</v>
      </c>
      <c r="D5" s="1257" t="s">
        <v>376</v>
      </c>
      <c r="E5" s="1257" t="s">
        <v>318</v>
      </c>
      <c r="F5" s="1289" t="s">
        <v>406</v>
      </c>
      <c r="G5" s="1292" t="s">
        <v>128</v>
      </c>
      <c r="H5" s="1248" t="s">
        <v>160</v>
      </c>
      <c r="I5" s="1248" t="s">
        <v>164</v>
      </c>
      <c r="J5" s="1248" t="s">
        <v>165</v>
      </c>
      <c r="K5" s="1248" t="s">
        <v>407</v>
      </c>
      <c r="L5" s="1248" t="s">
        <v>582</v>
      </c>
      <c r="M5" s="1248" t="s">
        <v>322</v>
      </c>
      <c r="N5" s="1248" t="s">
        <v>377</v>
      </c>
      <c r="O5" s="1248" t="s">
        <v>409</v>
      </c>
      <c r="P5" s="1248" t="s">
        <v>163</v>
      </c>
      <c r="Q5" s="1248" t="s">
        <v>41</v>
      </c>
      <c r="R5" s="1263" t="s">
        <v>166</v>
      </c>
      <c r="S5" s="1266" t="s">
        <v>169</v>
      </c>
      <c r="T5" s="1254" t="s">
        <v>170</v>
      </c>
      <c r="U5" s="1251" t="s">
        <v>171</v>
      </c>
      <c r="V5" s="1278" t="s">
        <v>320</v>
      </c>
      <c r="W5" s="1295" t="s">
        <v>172</v>
      </c>
      <c r="X5" s="1298" t="s">
        <v>173</v>
      </c>
      <c r="Y5" s="1298" t="s">
        <v>174</v>
      </c>
      <c r="Z5" s="1281" t="s">
        <v>175</v>
      </c>
      <c r="AA5" s="1269" t="s">
        <v>176</v>
      </c>
      <c r="AB5" s="1248" t="s">
        <v>177</v>
      </c>
      <c r="AC5" s="1248" t="s">
        <v>178</v>
      </c>
      <c r="AD5" s="1301" t="s">
        <v>179</v>
      </c>
      <c r="AE5" s="1257" t="s">
        <v>182</v>
      </c>
      <c r="AF5" s="1272" t="s">
        <v>180</v>
      </c>
      <c r="AG5" s="1248" t="s">
        <v>181</v>
      </c>
      <c r="AH5" s="1263" t="s">
        <v>200</v>
      </c>
      <c r="AI5" s="1269" t="s">
        <v>183</v>
      </c>
      <c r="AJ5" s="1275" t="s">
        <v>247</v>
      </c>
      <c r="AK5" s="1260" t="s">
        <v>248</v>
      </c>
      <c r="AL5" s="1257" t="s">
        <v>249</v>
      </c>
      <c r="AM5" s="1257" t="s">
        <v>359</v>
      </c>
      <c r="AN5" s="1257" t="s">
        <v>250</v>
      </c>
      <c r="AO5" s="1257" t="s">
        <v>251</v>
      </c>
      <c r="AP5" s="1257" t="s">
        <v>301</v>
      </c>
      <c r="AQ5" s="1257" t="s">
        <v>184</v>
      </c>
      <c r="AR5" s="1257" t="s">
        <v>185</v>
      </c>
      <c r="AS5" s="1257" t="s">
        <v>388</v>
      </c>
      <c r="AT5" s="1257" t="s">
        <v>294</v>
      </c>
      <c r="AU5" s="1257" t="s">
        <v>295</v>
      </c>
      <c r="AV5" s="1257" t="s">
        <v>333</v>
      </c>
      <c r="AW5" s="1257" t="s">
        <v>828</v>
      </c>
      <c r="AX5" s="1257" t="s">
        <v>321</v>
      </c>
      <c r="AY5" s="1257" t="s">
        <v>746</v>
      </c>
      <c r="AZ5" s="1257" t="s">
        <v>747</v>
      </c>
      <c r="BF5" s="1246" t="s">
        <v>201</v>
      </c>
      <c r="BG5" s="1247"/>
      <c r="BH5" s="1246" t="s">
        <v>202</v>
      </c>
      <c r="BI5" s="1247"/>
      <c r="BJ5" s="1246" t="s">
        <v>203</v>
      </c>
      <c r="BK5" s="1247"/>
      <c r="BL5" s="1246" t="s">
        <v>204</v>
      </c>
      <c r="BM5" s="1247"/>
    </row>
    <row r="6" spans="1:65" ht="21.75" customHeight="1">
      <c r="A6" s="1285"/>
      <c r="B6" s="272"/>
      <c r="C6" s="1288"/>
      <c r="D6" s="1258"/>
      <c r="E6" s="1258"/>
      <c r="F6" s="1290"/>
      <c r="G6" s="1293"/>
      <c r="H6" s="1249"/>
      <c r="I6" s="1249"/>
      <c r="J6" s="1249"/>
      <c r="K6" s="1249"/>
      <c r="L6" s="1249"/>
      <c r="M6" s="1249"/>
      <c r="N6" s="1249"/>
      <c r="O6" s="1249"/>
      <c r="P6" s="1249"/>
      <c r="Q6" s="1249"/>
      <c r="R6" s="1264"/>
      <c r="S6" s="1267"/>
      <c r="T6" s="1255"/>
      <c r="U6" s="1252"/>
      <c r="V6" s="1279"/>
      <c r="W6" s="1296"/>
      <c r="X6" s="1299"/>
      <c r="Y6" s="1299"/>
      <c r="Z6" s="1282"/>
      <c r="AA6" s="1270"/>
      <c r="AB6" s="1249"/>
      <c r="AC6" s="1249"/>
      <c r="AD6" s="1302"/>
      <c r="AE6" s="1258"/>
      <c r="AF6" s="1273"/>
      <c r="AG6" s="1249"/>
      <c r="AH6" s="1264"/>
      <c r="AI6" s="1270"/>
      <c r="AJ6" s="1276"/>
      <c r="AK6" s="1261"/>
      <c r="AL6" s="1258"/>
      <c r="AM6" s="1258"/>
      <c r="AN6" s="1258"/>
      <c r="AO6" s="1258"/>
      <c r="AP6" s="1258"/>
      <c r="AQ6" s="1258"/>
      <c r="AR6" s="1258"/>
      <c r="AS6" s="1258"/>
      <c r="AT6" s="1258"/>
      <c r="AU6" s="1258"/>
      <c r="AV6" s="1258"/>
      <c r="AW6" s="1258"/>
      <c r="AX6" s="1258"/>
      <c r="AY6" s="1258"/>
      <c r="AZ6" s="1258"/>
      <c r="BF6" s="1244" t="s">
        <v>161</v>
      </c>
      <c r="BG6" s="1244" t="s">
        <v>162</v>
      </c>
      <c r="BH6" s="1244" t="s">
        <v>161</v>
      </c>
      <c r="BI6" s="1244" t="s">
        <v>162</v>
      </c>
      <c r="BJ6" s="1244" t="s">
        <v>161</v>
      </c>
      <c r="BK6" s="1244" t="s">
        <v>162</v>
      </c>
      <c r="BL6" s="1244" t="s">
        <v>161</v>
      </c>
      <c r="BM6" s="1244" t="s">
        <v>162</v>
      </c>
    </row>
    <row r="7" spans="1:65" ht="38.25" customHeight="1" thickBot="1">
      <c r="A7" s="1286"/>
      <c r="B7" s="273"/>
      <c r="C7" s="263" t="str">
        <f>Datos!A7</f>
        <v>COMPETENCIAS</v>
      </c>
      <c r="D7" s="1259"/>
      <c r="E7" s="1259"/>
      <c r="F7" s="1291"/>
      <c r="G7" s="1294"/>
      <c r="H7" s="1250"/>
      <c r="I7" s="1250"/>
      <c r="J7" s="1250"/>
      <c r="K7" s="1250"/>
      <c r="L7" s="1250"/>
      <c r="M7" s="1250"/>
      <c r="N7" s="1250"/>
      <c r="O7" s="1250"/>
      <c r="P7" s="1250"/>
      <c r="Q7" s="1250"/>
      <c r="R7" s="1265"/>
      <c r="S7" s="1268"/>
      <c r="T7" s="1256"/>
      <c r="U7" s="1253"/>
      <c r="V7" s="1280"/>
      <c r="W7" s="1297"/>
      <c r="X7" s="1300"/>
      <c r="Y7" s="1300"/>
      <c r="Z7" s="1283"/>
      <c r="AA7" s="1271"/>
      <c r="AB7" s="1250"/>
      <c r="AC7" s="1250"/>
      <c r="AD7" s="1303"/>
      <c r="AE7" s="1259"/>
      <c r="AF7" s="1274"/>
      <c r="AG7" s="1250"/>
      <c r="AH7" s="1265"/>
      <c r="AI7" s="1271"/>
      <c r="AJ7" s="1277"/>
      <c r="AK7" s="1262"/>
      <c r="AL7" s="1259"/>
      <c r="AM7" s="1259"/>
      <c r="AN7" s="1259"/>
      <c r="AO7" s="1259"/>
      <c r="AP7" s="1259"/>
      <c r="AQ7" s="1259"/>
      <c r="AR7" s="1259"/>
      <c r="AS7" s="1259"/>
      <c r="AT7" s="1259"/>
      <c r="AU7" s="1259"/>
      <c r="AV7" s="1259"/>
      <c r="AW7" s="1259"/>
      <c r="AX7" s="1259"/>
      <c r="AY7" s="1259"/>
      <c r="AZ7" s="1259"/>
      <c r="BF7" s="1245"/>
      <c r="BG7" s="1245"/>
      <c r="BH7" s="1245"/>
      <c r="BI7" s="1245"/>
      <c r="BJ7" s="1245"/>
      <c r="BK7" s="1245"/>
      <c r="BL7" s="1245"/>
      <c r="BM7" s="1245"/>
    </row>
    <row r="8" spans="1:65" ht="15.75" thickTop="1" thickBot="1">
      <c r="A8" s="175"/>
      <c r="B8" s="175"/>
      <c r="C8" s="160" t="str">
        <f>Datos!A8</f>
        <v>Jurisdicción Civil ( 1 ):</v>
      </c>
      <c r="D8" s="223"/>
      <c r="E8" s="223"/>
      <c r="F8" s="215"/>
      <c r="G8" s="215"/>
      <c r="H8" s="215"/>
      <c r="I8" s="216"/>
      <c r="J8" s="216"/>
      <c r="K8" s="216"/>
      <c r="L8" s="216"/>
      <c r="M8" s="216"/>
      <c r="N8" s="216"/>
      <c r="O8" s="216"/>
      <c r="P8" s="216"/>
      <c r="Q8" s="216"/>
      <c r="R8" s="216"/>
      <c r="S8" s="220"/>
      <c r="T8" s="221"/>
      <c r="U8" s="221"/>
      <c r="V8" s="222"/>
      <c r="W8" s="215"/>
      <c r="X8" s="216"/>
      <c r="Y8" s="216"/>
      <c r="Z8" s="216"/>
      <c r="AA8" s="215"/>
      <c r="AB8" s="216"/>
      <c r="AC8" s="216"/>
      <c r="AD8" s="216"/>
      <c r="AE8" s="308"/>
      <c r="AF8" s="215"/>
      <c r="AG8" s="216"/>
      <c r="AH8" s="217"/>
      <c r="AI8" s="215"/>
      <c r="AJ8" s="218"/>
      <c r="AK8" s="219"/>
      <c r="AL8" s="220"/>
      <c r="AM8" s="221"/>
      <c r="AN8" s="221"/>
      <c r="AO8" s="222"/>
      <c r="AP8" s="223"/>
      <c r="AQ8" s="223"/>
      <c r="AR8" s="302"/>
      <c r="AS8" s="223"/>
      <c r="AT8" s="223"/>
      <c r="AU8" s="223"/>
      <c r="AV8" s="223"/>
      <c r="AW8" s="223"/>
      <c r="AX8" s="298"/>
      <c r="AY8" s="298"/>
      <c r="AZ8" s="298"/>
      <c r="BF8" s="50"/>
      <c r="BG8" s="50"/>
      <c r="BH8" s="50"/>
      <c r="BI8" s="50"/>
      <c r="BJ8" s="50"/>
      <c r="BK8" s="50"/>
      <c r="BL8" s="50"/>
      <c r="BM8" s="50"/>
    </row>
    <row r="9" spans="1:65" ht="14.25">
      <c r="A9" s="176">
        <f>Datos!AO9</f>
        <v>0</v>
      </c>
      <c r="B9" s="176" t="s">
        <v>246</v>
      </c>
      <c r="C9" s="159" t="str">
        <f>Datos!A9</f>
        <v xml:space="preserve">Jdos. 1ª Instancia   </v>
      </c>
      <c r="D9" s="159"/>
      <c r="E9" s="1024">
        <f>IF(ISNUMBER(Datos!AQ9),Datos!AQ9," - ")</f>
        <v>0</v>
      </c>
      <c r="F9" s="224" t="str">
        <f>IF(ISNUMBER(AA9+W9-I9-K9),AA9+W9-I9-K9," - ")</f>
        <v xml:space="preserve"> - </v>
      </c>
      <c r="G9" s="332" t="str">
        <f>IF(ISNUMBER(IF(J_V="SI",Datos!I9,Datos!I9+Datos!Y9)-IF(Monitorios="SI",Datos!CA9,0)),
                          IF(J_V="SI",Datos!I9,Datos!I9+Datos!Y9)-IF(Monitorios="SI",Datos!CA9,0),
                          " - ")</f>
        <v xml:space="preserve"> - </v>
      </c>
      <c r="H9" s="224" t="str">
        <f>IF(ISNUMBER(Datos!DB9),Datos!DB9," - ")</f>
        <v xml:space="preserve"> - </v>
      </c>
      <c r="I9" s="225" t="str">
        <f>IF(ISNUMBER(Datos!DC9),Datos!DC9," - ")</f>
        <v xml:space="preserve"> - </v>
      </c>
      <c r="J9" s="225" t="str">
        <f>IF(ISNUMBER(Datos!DD9),Datos!DD9," - ")</f>
        <v xml:space="preserve"> - </v>
      </c>
      <c r="K9" s="225">
        <f>IF(ISNUMBER(Datos!DF9),Datos!DF9,0)</f>
        <v>0</v>
      </c>
      <c r="L9" s="225">
        <f>IF(ISNUMBER(Datos!P9),Datos!P9,0)</f>
        <v>0</v>
      </c>
      <c r="M9" s="225" t="str">
        <f>IF(ISNUMBER(Datos!DE9),Datos!DE9," - ")</f>
        <v xml:space="preserve"> - </v>
      </c>
      <c r="N9" s="225" t="str">
        <f>IF(ISNUMBER(H9+L9),H9+L9," - ")</f>
        <v xml:space="preserve"> - </v>
      </c>
      <c r="O9" s="333"/>
      <c r="P9" s="336" t="str">
        <f>IF(ISNUMBER((N9)/((BL9+BM9)/2)),(N9)/((BL9+BM9)/2)," - ")</f>
        <v xml:space="preserve"> - </v>
      </c>
      <c r="Q9" s="336" t="str">
        <f>IF(ISNUMBER((N9)/((BL9+BM9)/2)),(N9)/((BL9+BM9)/2)," - ")</f>
        <v xml:space="preserve"> - </v>
      </c>
      <c r="R9" s="226" t="str">
        <f>IF(ISNUMBER(Datos!CB9),Datos!CB9," - ")</f>
        <v xml:space="preserve"> - </v>
      </c>
      <c r="S9" s="224">
        <f>IF(ISNUMBER(Datos!BY9+Datos!BZ9*0.86),Datos!BY9+Datos!BZ9*0.86," - ")</f>
        <v>0</v>
      </c>
      <c r="T9" s="336">
        <f>IF(ISNUMBER((S9*factor_trimestre)/DatosB!CN9),(S9*factor_trimestre)/DatosB!CN9,"-")</f>
        <v>0</v>
      </c>
      <c r="U9" s="297"/>
      <c r="V9" s="336">
        <f>IF(ISNUMBER((U9*factor_trimestre)/DatosB!CN9),(U9*factor_trimestre)/DatosB!CN9,"-")</f>
        <v>0</v>
      </c>
      <c r="W9" s="224" t="str">
        <f>IF(ISNUMBER(IF(J_V="SI",Datos!K9,Datos!K9+Datos!AA9)-IF(Monitorios="SI",Datos!CC9,0)),
                          IF(J_V="SI",Datos!K9,Datos!K9+Datos!AA9)-IF(Monitorios="SI",Datos!CC9,0),
                          " - ")</f>
        <v xml:space="preserve"> - </v>
      </c>
      <c r="X9" s="225" t="str">
        <f>IF(ISNUMBER(Datos!Q9),Datos!Q9," - ")</f>
        <v xml:space="preserve"> - </v>
      </c>
      <c r="Y9" s="333">
        <f>SUM(W9:X9)</f>
        <v>0</v>
      </c>
      <c r="Z9" s="334" t="str">
        <f>IF(ISNUMBER(Datos!CC9),Datos!CC9," - ")</f>
        <v xml:space="preserve"> - </v>
      </c>
      <c r="AA9" s="331" t="str">
        <f>IF(ISNUMBER(IF(J_V="SI",Datos!L9,Datos!L9+Datos!AB9)-IF(Monitorios="SI",Datos!CD9,0)),
                          IF(J_V="SI",Datos!L9,Datos!L9+Datos!AB9)-IF(Monitorios="SI",Datos!CD9,0),
                          " - ")</f>
        <v xml:space="preserve"> - </v>
      </c>
      <c r="AB9" s="333" t="str">
        <f>IF(ISNUMBER(Datos!R9),Datos!R9," - ")</f>
        <v xml:space="preserve"> - </v>
      </c>
      <c r="AC9" s="333" t="str">
        <f>IF(ISNUMBER(AA9+AB9),AA9+AB9," - ")</f>
        <v xml:space="preserve"> - </v>
      </c>
      <c r="AD9" s="334" t="str">
        <f>IF(ISNUMBER(Datos!CD9),Datos!CD9," - ")</f>
        <v xml:space="preserve"> - </v>
      </c>
      <c r="AE9" s="228" t="str">
        <f>IF(ISNUMBER(Datos!BV9),Datos!BV9," - ")</f>
        <v xml:space="preserve"> - </v>
      </c>
      <c r="AF9" s="224" t="str">
        <f>IF(ISNUMBER(Datos!CK9),Datos!CK9," - ")</f>
        <v xml:space="preserve"> - </v>
      </c>
      <c r="AG9" s="297" t="str">
        <f>IF(ISNUMBER(Datos!CL9),Datos!CL9," - ")</f>
        <v xml:space="preserve"> - </v>
      </c>
      <c r="AH9" s="226" t="str">
        <f>IF(ISNUMBER(Datos!CM9),Datos!CM9," - ")</f>
        <v xml:space="preserve"> - </v>
      </c>
      <c r="AI9" s="224" t="str">
        <f>IF(ISNUMBER(Datos!M9),Datos!M9," - ")</f>
        <v xml:space="preserve"> - </v>
      </c>
      <c r="AJ9" s="228" t="str">
        <f>IF(ISNUMBER(Datos!BW9),Datos!BW9," - ")</f>
        <v xml:space="preserve"> - </v>
      </c>
      <c r="AK9" s="227" t="str">
        <f>IF(ISNUMBER(Datos!BX9),Datos!BX9," - ")</f>
        <v xml:space="preserve"> - </v>
      </c>
      <c r="AL9" s="242" t="str">
        <f>IF(ISNUMBER(NºAsuntos!G9/NºAsuntos!E9),NºAsuntos!G9/NºAsuntos!E9," - ")</f>
        <v xml:space="preserve"> - </v>
      </c>
      <c r="AM9" s="259" t="str">
        <f>IF(ISNUMBER(((NºAsuntos!I9/NºAsuntos!G9)*11)/factor_trimestre),((NºAsuntos!I9/NºAsuntos!G9)*11)/factor_trimestre," - ")</f>
        <v xml:space="preserve"> - </v>
      </c>
      <c r="AN9" s="243" t="str">
        <f>IF(ISNUMBER('Resol  Asuntos'!D9/NºAsuntos!G9),'Resol  Asuntos'!D9/NºAsuntos!G9," - ")</f>
        <v xml:space="preserve"> - </v>
      </c>
      <c r="AO9" s="244" t="str">
        <f>IF(ISNUMBER((NºAsuntos!C9+NºAsuntos!E9)/NºAsuntos!G9),(NºAsuntos!C9+NºAsuntos!E9)/NºAsuntos!G9," - ")</f>
        <v xml:space="preserve"> - </v>
      </c>
      <c r="AP9" s="229" t="str">
        <f>IF(ISNUMBER(AT9/AU9),AT9/AU9," - ")</f>
        <v xml:space="preserve"> - </v>
      </c>
      <c r="AQ9" s="229" t="str">
        <f>IF(ISNUMBER((I9-W9+K9)/(F9)),(I9-W9+K9)/(F9)," - ")</f>
        <v xml:space="preserve"> - </v>
      </c>
      <c r="AR9" s="303" t="str">
        <f>IF(ISNUMBER((Datos!P9-Datos!Q9+M9)/(Datos!R9-Datos!P9+Datos!Q9-M9)),(Datos!P9-Datos!Q9+M9)/(Datos!R9-Datos!P9+Datos!Q9-M9)," - ")</f>
        <v xml:space="preserve"> - </v>
      </c>
      <c r="AS9" s="265" t="str">
        <f>IF(ISNUMBER(Datos!CS9),Datos!CS9," - ")</f>
        <v xml:space="preserve"> - </v>
      </c>
      <c r="AT9" s="265" t="str">
        <f>IF(ISNUMBER(Datos!CI9),Datos!CI9," - ")</f>
        <v xml:space="preserve"> - </v>
      </c>
      <c r="AU9" s="265" t="str">
        <f>IF(ISNUMBER(Datos!CJ9),Datos!CJ9," - ")</f>
        <v xml:space="preserve"> - </v>
      </c>
      <c r="AV9" s="265" t="str">
        <f>IF(ISNUMBER(Datos!CW9),Datos!CW9," - ")</f>
        <v xml:space="preserve"> - </v>
      </c>
      <c r="AW9" s="265" t="str">
        <f>IF(ISNUMBER(Datos!EV9),Datos!EV9," - ")</f>
        <v xml:space="preserve"> - </v>
      </c>
      <c r="AX9" s="265">
        <f>IF(ISNUMBER(Datos!CX9)," - ",Datos!CX9)</f>
        <v>0</v>
      </c>
      <c r="AY9" s="265" t="str">
        <f>IF(ISNUMBER(Datos!ET9),Datos!ET9," - ")</f>
        <v xml:space="preserve"> - </v>
      </c>
      <c r="AZ9" s="990" t="e">
        <f>(AY9/Datos!ER9)*factor_trimestre</f>
        <v>#VALUE!</v>
      </c>
      <c r="BF9" s="153">
        <f>Datos!BN9/factor_trimestre</f>
        <v>0</v>
      </c>
      <c r="BG9" s="153">
        <f>Datos!BO9/factor_trimestre</f>
        <v>0</v>
      </c>
      <c r="BH9" s="153">
        <f>Datos!BP9/factor_trimestre</f>
        <v>0</v>
      </c>
      <c r="BI9" s="153">
        <f>Datos!BQ9/factor_trimestre</f>
        <v>0</v>
      </c>
      <c r="BJ9" s="153">
        <f>Datos!BR9/factor_trimestre</f>
        <v>0</v>
      </c>
      <c r="BK9" s="153">
        <f>Datos!BS9/factor_trimestre</f>
        <v>0</v>
      </c>
      <c r="BL9" s="153">
        <f>Datos!BT9/factor_trimestre</f>
        <v>0</v>
      </c>
      <c r="BM9" s="153">
        <f>Datos!BU9/factor_trimestre</f>
        <v>0</v>
      </c>
    </row>
    <row r="10" spans="1:65" ht="14.25">
      <c r="A10" s="176">
        <f>Datos!AO10</f>
        <v>1</v>
      </c>
      <c r="B10" s="274" t="s">
        <v>246</v>
      </c>
      <c r="C10" s="7" t="str">
        <f>Datos!A10</f>
        <v>Jdos. Violencia contra la mujer/Secc Viol. TI.</v>
      </c>
      <c r="D10" s="7"/>
      <c r="E10" s="1024">
        <f>IF(ISNUMBER(Datos!AQ10),Datos!AQ10," - ")</f>
        <v>0</v>
      </c>
      <c r="F10" s="224">
        <f>IF(ISNUMBER(Datos!L10+Datos!K10-Datos!J10-K10),Datos!L10+Datos!K10-Datos!J10-K10," - ")</f>
        <v>98</v>
      </c>
      <c r="G10" s="332">
        <f>IF(ISNUMBER(Datos!I10),Datos!I10," - ")</f>
        <v>98</v>
      </c>
      <c r="H10" s="224" t="str">
        <f>IF(ISNUMBER(Datos!DB10),Datos!DB10," - ")</f>
        <v xml:space="preserve"> - </v>
      </c>
      <c r="I10" s="225" t="str">
        <f>IF(ISNUMBER(Datos!DC10),Datos!DC10," - ")</f>
        <v xml:space="preserve"> - </v>
      </c>
      <c r="J10" s="225" t="str">
        <f>IF(ISNUMBER(Datos!DD10),Datos!DD10," - ")</f>
        <v xml:space="preserve"> - </v>
      </c>
      <c r="K10" s="225">
        <f>IF(ISNUMBER(Datos!DF10),Datos!DF10,0)</f>
        <v>0</v>
      </c>
      <c r="L10" s="225">
        <f>IF(ISNUMBER(Datos!P10),Datos!P10,0)</f>
        <v>9</v>
      </c>
      <c r="M10" s="225" t="str">
        <f>IF(ISNUMBER(Datos!DE10),Datos!DE10," - ")</f>
        <v xml:space="preserve"> - </v>
      </c>
      <c r="N10" s="225" t="str">
        <f>IF(ISNUMBER(H10),H10," - ")</f>
        <v xml:space="preserve"> - </v>
      </c>
      <c r="O10" s="311" t="e">
        <f ca="1">IF(ISNUMBER(INDIRECT("N"&amp;ROW()+salto-1)),N10+(INDIRECT("N"&amp;ROW()+salto-1)),N10+(INDIRECT("N"&amp;ROW()-salto+1)))</f>
        <v>#VALUE!</v>
      </c>
      <c r="P10" s="336" t="str">
        <f>IF(ISNUMBER((N10)/((BL10+BM10)/2)),(N10)/((BL10+BM10)/2)," - ")</f>
        <v xml:space="preserve"> - </v>
      </c>
      <c r="Q10" s="336" t="str">
        <f>IF(jurisdiccion="Jurisdicción Civil y Penal",IF(ISNUMBER((O10)/((BL10+BM10)/2)),(O10)/((BL10+BM10)/2)," - "),IF(ISNUMBER((N10)/((BF10+BG10)/2)),(N10)/((BF10+BG10)/2)," - "))</f>
        <v xml:space="preserve"> - </v>
      </c>
      <c r="R10" s="226" t="str">
        <f>IF(ISNUMBER(Datos!CB10),Datos!CB10," - ")</f>
        <v xml:space="preserve"> - </v>
      </c>
      <c r="S10" s="224" t="str">
        <f>IF(ISNUMBER(Datos!BY10),Datos!BY10," - ")</f>
        <v xml:space="preserve"> - </v>
      </c>
      <c r="T10" s="336" t="str">
        <f>IF(ISNUMBER((S10*factor_trimestre)/DatosB!CN10),(S10*factor_trimestre)/DatosB!CN10,"-")</f>
        <v>-</v>
      </c>
      <c r="U10" s="140" t="e">
        <f ca="1">IF(ISNUMBER(INDIRECT("S"&amp;ROW()+salto-1)),S10+(INDIRECT("S"&amp;ROW()+salto-1)),S10+(INDIRECT("S"&amp;ROW()-salto+1)))</f>
        <v>#VALUE!</v>
      </c>
      <c r="V10" s="336" t="str">
        <f ca="1">IF(ISNUMBER((U10*factor_trimestre)/DatosB!CN10),(U10*factor_trimestre)/DatosB!CN10,"-")</f>
        <v>-</v>
      </c>
      <c r="W10" s="224">
        <f>IF(ISNUMBER(Datos!K10),Datos!K10," - ")</f>
        <v>12</v>
      </c>
      <c r="X10" s="225">
        <f>IF(ISNUMBER(Datos!Q10),Datos!Q10," - ")</f>
        <v>1</v>
      </c>
      <c r="Y10" s="333">
        <f t="shared" ref="Y10:Y12" si="0">SUM(W10:X10)</f>
        <v>13</v>
      </c>
      <c r="Z10" s="334" t="str">
        <f>IF(ISNUMBER(Datos!CC10),Datos!CC10," - ")</f>
        <v xml:space="preserve"> - </v>
      </c>
      <c r="AA10" s="331">
        <f>IF(ISNUMBER(Datos!L10),Datos!L10,"-")</f>
        <v>97</v>
      </c>
      <c r="AB10" s="333">
        <f>IF(ISNUMBER(Datos!R10),Datos!R10," - ")</f>
        <v>67</v>
      </c>
      <c r="AC10" s="333">
        <f t="shared" ref="AC10:AC12" si="1">IF(ISNUMBER(AA10+AB10),AA10+AB10," - ")</f>
        <v>164</v>
      </c>
      <c r="AD10" s="334" t="str">
        <f>IF(ISNUMBER(Datos!CD10),Datos!CD10," - ")</f>
        <v xml:space="preserve"> - </v>
      </c>
      <c r="AE10" s="228" t="str">
        <f>IF(ISNUMBER(Datos!BV10),Datos!BV10," - ")</f>
        <v xml:space="preserve"> - </v>
      </c>
      <c r="AF10" s="224" t="str">
        <f>IF(ISNUMBER(Datos!CK10),Datos!CK10," - ")</f>
        <v xml:space="preserve"> - </v>
      </c>
      <c r="AG10" s="297" t="str">
        <f>IF(ISNUMBER(Datos!CL10),Datos!CL10," - ")</f>
        <v xml:space="preserve"> - </v>
      </c>
      <c r="AH10" s="226" t="str">
        <f>IF(ISNUMBER(Datos!CM10),Datos!CM10," - ")</f>
        <v xml:space="preserve"> - </v>
      </c>
      <c r="AI10" s="224">
        <f>IF(ISNUMBER(Datos!M10),Datos!M10," - ")</f>
        <v>8</v>
      </c>
      <c r="AJ10" s="230" t="str">
        <f>IF(ISNUMBER(Datos!BW10),Datos!BW10," - ")</f>
        <v xml:space="preserve"> - </v>
      </c>
      <c r="AK10" s="231" t="str">
        <f>IF(ISNUMBER(Datos!BX10),Datos!BX10," - ")</f>
        <v xml:space="preserve"> - </v>
      </c>
      <c r="AL10" s="242">
        <f>IF(ISNUMBER(NºAsuntos!G10/NºAsuntos!E10),NºAsuntos!G10/NºAsuntos!E10," - ")</f>
        <v>1.0909090909090908</v>
      </c>
      <c r="AM10" s="259">
        <f>IF(ISNUMBER(((NºAsuntos!I10/NºAsuntos!G10)*11)/factor_trimestre),((NºAsuntos!I10/NºAsuntos!G10)*11)/factor_trimestre," - ")</f>
        <v>24.250000000000004</v>
      </c>
      <c r="AN10" s="243">
        <f>IF(ISNUMBER('Resol  Asuntos'!D10/NºAsuntos!G10),'Resol  Asuntos'!D10/NºAsuntos!G10," - ")</f>
        <v>0.66666666666666663</v>
      </c>
      <c r="AO10" s="244">
        <f>IF(ISNUMBER((NºAsuntos!C10+NºAsuntos!E10)/NºAsuntos!G10),(NºAsuntos!C10+NºAsuntos!E10)/NºAsuntos!G10," - ")</f>
        <v>9.0833333333333339</v>
      </c>
      <c r="AP10" s="229" t="str">
        <f t="shared" ref="AP10:AP20" si="2">IF(ISNUMBER(AT10/AU10),AT10/AU10," - ")</f>
        <v xml:space="preserve"> - </v>
      </c>
      <c r="AQ10" s="229" t="str">
        <f>IF(ISNUMBER((H10-W10+K10)/(F10)),(H10-W10+K10)/(F10)," - ")</f>
        <v xml:space="preserve"> - </v>
      </c>
      <c r="AR10" s="303" t="str">
        <f>IF(ISNUMBER((Datos!P10-Datos!Q10+M10)/(Datos!R10-Datos!P10+Datos!Q10-M10)),(Datos!P10-Datos!Q10+M10)/(Datos!R10-Datos!P10+Datos!Q10-M10)," - ")</f>
        <v xml:space="preserve"> - </v>
      </c>
      <c r="AS10" s="265" t="str">
        <f>IF(ISNUMBER(Datos!CS10),Datos!CS10," - ")</f>
        <v xml:space="preserve"> - </v>
      </c>
      <c r="AT10" s="265" t="str">
        <f>IF(ISNUMBER(Datos!CI10),Datos!CI10," - ")</f>
        <v xml:space="preserve"> - </v>
      </c>
      <c r="AU10" s="265" t="str">
        <f>IF(ISNUMBER(Datos!CJ10),Datos!CJ10," - ")</f>
        <v xml:space="preserve"> - </v>
      </c>
      <c r="AV10" s="265" t="str">
        <f>IF(ISNUMBER(Datos!CW10),Datos!CW10," - ")</f>
        <v xml:space="preserve"> - </v>
      </c>
      <c r="AW10" s="265" t="str">
        <f>IF(ISNUMBER(Datos!EV10),Datos!EV10," - ")</f>
        <v xml:space="preserve"> - </v>
      </c>
      <c r="AX10" s="265">
        <f>IF(ISNUMBER(Datos!CX10)," - ",Datos!CX10)</f>
        <v>0</v>
      </c>
      <c r="AY10" s="265" t="str">
        <f>IF(ISNUMBER(Datos!EO10),Datos!EO10," - ")</f>
        <v xml:space="preserve"> - </v>
      </c>
      <c r="AZ10" s="990" t="e">
        <f>(AY10/Datos!ER10)*factor_trimestre</f>
        <v>#VALUE!</v>
      </c>
      <c r="BF10" s="153">
        <f>Datos!BN10/factor_trimestre</f>
        <v>0</v>
      </c>
      <c r="BG10" s="153">
        <f>Datos!BO10/factor_trimestre</f>
        <v>0</v>
      </c>
      <c r="BH10" s="153">
        <f>Datos!BP10/factor_trimestre</f>
        <v>0</v>
      </c>
      <c r="BI10" s="153">
        <f>Datos!BQ10/factor_trimestre</f>
        <v>0</v>
      </c>
      <c r="BJ10" s="153">
        <f>Datos!BR10/factor_trimestre</f>
        <v>0</v>
      </c>
      <c r="BK10" s="153">
        <f>Datos!BS10/factor_trimestre</f>
        <v>0</v>
      </c>
      <c r="BL10" s="153">
        <f>Datos!BT10/factor_trimestre</f>
        <v>0</v>
      </c>
      <c r="BM10" s="153">
        <f>Datos!BU10/factor_trimestre</f>
        <v>0</v>
      </c>
    </row>
    <row r="11" spans="1:65" ht="14.25">
      <c r="A11" s="176">
        <f>Datos!AO11</f>
        <v>0</v>
      </c>
      <c r="B11" s="274" t="s">
        <v>246</v>
      </c>
      <c r="C11" s="7" t="str">
        <f>Datos!A11</f>
        <v xml:space="preserve">Jdos. Familia                                   </v>
      </c>
      <c r="D11" s="7"/>
      <c r="E11" s="1024">
        <f>IF(ISNUMBER(Datos!AQ11),Datos!AQ11," - ")</f>
        <v>0</v>
      </c>
      <c r="F11" s="224" t="str">
        <f>IF(ISNUMBER(AA11+W11-I11-K11),AA11+W11-I11-K11," - ")</f>
        <v xml:space="preserve"> - </v>
      </c>
      <c r="G11" s="332" t="str">
        <f>IF(ISNUMBER(IF(J_V="SI",Datos!I11,Datos!I11+Datos!Y11)-IF(Monitorios="SI",Datos!CA11,0)),
                          IF(J_V="SI",Datos!I11,Datos!I11+Datos!Y11)-IF(Monitorios="SI",Datos!CA11,0),
                          " - ")</f>
        <v xml:space="preserve"> - </v>
      </c>
      <c r="H11" s="224" t="str">
        <f>IF(ISNUMBER(Datos!DB11),Datos!DB11," - ")</f>
        <v xml:space="preserve"> - </v>
      </c>
      <c r="I11" s="225" t="str">
        <f>IF(ISNUMBER(Datos!DC11),Datos!DC11," - ")</f>
        <v xml:space="preserve"> - </v>
      </c>
      <c r="J11" s="225" t="str">
        <f>IF(ISNUMBER(Datos!DD11),Datos!DD11," - ")</f>
        <v xml:space="preserve"> - </v>
      </c>
      <c r="K11" s="225">
        <f>IF(ISNUMBER(Datos!DF11),Datos!DF11,0)</f>
        <v>0</v>
      </c>
      <c r="L11" s="225">
        <f>IF(ISNUMBER(Datos!P11),Datos!P11,0)</f>
        <v>0</v>
      </c>
      <c r="M11" s="225" t="str">
        <f>IF(ISNUMBER(Datos!DE11),Datos!DE11," - ")</f>
        <v xml:space="preserve"> - </v>
      </c>
      <c r="N11" s="225" t="str">
        <f>IF(ISNUMBER(H11+L11),H11+L11," - ")</f>
        <v xml:space="preserve"> - </v>
      </c>
      <c r="O11" s="333"/>
      <c r="P11" s="336" t="str">
        <f>IF(ISNUMBER((N11)/((BL11+BM11)/2)),(N11)/((BL11+BM11)/2)," - ")</f>
        <v xml:space="preserve"> - </v>
      </c>
      <c r="Q11" s="336" t="str">
        <f>IF(ISNUMBER((N11)/((BL11+BM11)/2)),(N11)/((BL11+BM11)/2)," - ")</f>
        <v xml:space="preserve"> - </v>
      </c>
      <c r="R11" s="226" t="str">
        <f>IF(ISNUMBER(Datos!CB11),Datos!CB11," - ")</f>
        <v xml:space="preserve"> - </v>
      </c>
      <c r="S11" s="224">
        <f>IF(ISNUMBER(Datos!BY11+Datos!BZ11),Datos!BY11+Datos!BZ11," - ")</f>
        <v>0</v>
      </c>
      <c r="T11" s="336">
        <f>IF(ISNUMBER((S11*factor_trimestre)/DatosB!CN11),(S11*factor_trimestre)/DatosB!CN11,"-")</f>
        <v>0</v>
      </c>
      <c r="U11" s="297"/>
      <c r="V11" s="336">
        <f>IF(ISNUMBER((U11*factor_trimestre)/DatosB!CN11),(U11*factor_trimestre)/DatosB!CN11,"-")</f>
        <v>0</v>
      </c>
      <c r="W11" s="224" t="str">
        <f>IF(ISNUMBER(IF(J_V="SI",Datos!K11,Datos!K11+Datos!AA11)-IF(Monitorios="SI",Datos!CC11,0)),
                          IF(J_V="SI",Datos!K11,Datos!K11+Datos!AA11)-IF(Monitorios="SI",Datos!CC11,0),
                          " - ")</f>
        <v xml:space="preserve"> - </v>
      </c>
      <c r="X11" s="225" t="str">
        <f>IF(ISNUMBER(Datos!Q11),Datos!Q11," - ")</f>
        <v xml:space="preserve"> - </v>
      </c>
      <c r="Y11" s="333">
        <f t="shared" si="0"/>
        <v>0</v>
      </c>
      <c r="Z11" s="334" t="str">
        <f>IF(ISNUMBER(Datos!CC11),Datos!CC11," - ")</f>
        <v xml:space="preserve"> - </v>
      </c>
      <c r="AA11" s="331" t="str">
        <f>IF(ISNUMBER(IF(J_V="SI",Datos!L11,Datos!L11+Datos!AB11)-IF(Monitorios="SI",Datos!CD11,0)),
                          IF(J_V="SI",Datos!L11,Datos!L11+Datos!AB11)-IF(Monitorios="SI",Datos!CD11,0),
                          " - ")</f>
        <v xml:space="preserve"> - </v>
      </c>
      <c r="AB11" s="333" t="str">
        <f>IF(ISNUMBER(Datos!R11),Datos!R11," - ")</f>
        <v xml:space="preserve"> - </v>
      </c>
      <c r="AC11" s="333" t="str">
        <f t="shared" si="1"/>
        <v xml:space="preserve"> - </v>
      </c>
      <c r="AD11" s="334" t="str">
        <f>IF(ISNUMBER(Datos!CD11),Datos!CD11," - ")</f>
        <v xml:space="preserve"> - </v>
      </c>
      <c r="AE11" s="228" t="str">
        <f>IF(ISNUMBER(Datos!BV11),Datos!BV11," - ")</f>
        <v xml:space="preserve"> - </v>
      </c>
      <c r="AF11" s="224" t="str">
        <f>IF(ISNUMBER(Datos!CK11),Datos!CK11," - ")</f>
        <v xml:space="preserve"> - </v>
      </c>
      <c r="AG11" s="297" t="str">
        <f>IF(ISNUMBER(Datos!CL11),Datos!CL11," - ")</f>
        <v xml:space="preserve"> - </v>
      </c>
      <c r="AH11" s="226" t="str">
        <f>IF(ISNUMBER(Datos!CM11),Datos!CM11," - ")</f>
        <v xml:space="preserve"> - </v>
      </c>
      <c r="AI11" s="224" t="str">
        <f>IF(ISNUMBER(Datos!M11),Datos!M11," - ")</f>
        <v xml:space="preserve"> - </v>
      </c>
      <c r="AJ11" s="230" t="str">
        <f>IF(ISNUMBER(Datos!BW11),Datos!BW11," - ")</f>
        <v xml:space="preserve"> - </v>
      </c>
      <c r="AK11" s="231" t="str">
        <f>IF(ISNUMBER(Datos!BX11),Datos!BX11," - ")</f>
        <v xml:space="preserve"> - </v>
      </c>
      <c r="AL11" s="242" t="str">
        <f>IF(ISNUMBER(NºAsuntos!G11/NºAsuntos!E11),NºAsuntos!G11/NºAsuntos!E11," - ")</f>
        <v xml:space="preserve"> - </v>
      </c>
      <c r="AM11" s="259" t="str">
        <f>IF(ISNUMBER(((NºAsuntos!I11/NºAsuntos!G11)*11)/factor_trimestre),((NºAsuntos!I11/NºAsuntos!G11)*11)/factor_trimestre," - ")</f>
        <v xml:space="preserve"> - </v>
      </c>
      <c r="AN11" s="243" t="str">
        <f>IF(ISNUMBER('Resol  Asuntos'!D11/NºAsuntos!G11),'Resol  Asuntos'!D11/NºAsuntos!G11," - ")</f>
        <v xml:space="preserve"> - </v>
      </c>
      <c r="AO11" s="244" t="str">
        <f>IF(ISNUMBER((NºAsuntos!C11+NºAsuntos!E11)/NºAsuntos!G11),(NºAsuntos!C11+NºAsuntos!E11)/NºAsuntos!G11," - ")</f>
        <v xml:space="preserve"> - </v>
      </c>
      <c r="AP11" s="229" t="str">
        <f t="shared" si="2"/>
        <v xml:space="preserve"> - </v>
      </c>
      <c r="AQ11" s="229" t="str">
        <f>IF(ISNUMBER((I11-W11+K11)/(F11)),(I11-W11+K11)/(F11)," - ")</f>
        <v xml:space="preserve"> - </v>
      </c>
      <c r="AR11" s="303" t="str">
        <f>IF(ISNUMBER((Datos!P11-Datos!Q11+M11)/(Datos!R11-Datos!P11+Datos!Q11-M11)),(Datos!P11-Datos!Q11+M11)/(Datos!R11-Datos!P11+Datos!Q11-M11)," - ")</f>
        <v xml:space="preserve"> - </v>
      </c>
      <c r="AS11" s="265" t="str">
        <f>IF(ISNUMBER(Datos!CS11),Datos!CS11," - ")</f>
        <v xml:space="preserve"> - </v>
      </c>
      <c r="AT11" s="265" t="str">
        <f>IF(ISNUMBER(Datos!CI11),Datos!CI11," - ")</f>
        <v xml:space="preserve"> - </v>
      </c>
      <c r="AU11" s="265" t="str">
        <f>IF(ISNUMBER(Datos!CJ11),Datos!CJ11," - ")</f>
        <v xml:space="preserve"> - </v>
      </c>
      <c r="AV11" s="265" t="str">
        <f>IF(ISNUMBER(Datos!CW11),Datos!CW11," - ")</f>
        <v xml:space="preserve"> - </v>
      </c>
      <c r="AW11" s="265" t="str">
        <f>IF(ISNUMBER(Datos!EV11),Datos!EV11," - ")</f>
        <v xml:space="preserve"> - </v>
      </c>
      <c r="AX11" s="265">
        <f>IF(ISNUMBER(Datos!CX11)," - ",Datos!CX11)</f>
        <v>0</v>
      </c>
      <c r="AY11" s="265" t="str">
        <f>IF(ISNUMBER(Datos!ET11),Datos!ET11," - ")</f>
        <v xml:space="preserve"> - </v>
      </c>
      <c r="AZ11" s="990" t="e">
        <f>(AY11/Datos!ER11)*factor_trimestre</f>
        <v>#VALUE!</v>
      </c>
      <c r="BF11" s="153">
        <f>Datos!BN11/factor_trimestre</f>
        <v>0</v>
      </c>
      <c r="BG11" s="153">
        <f>Datos!BO11/factor_trimestre</f>
        <v>0</v>
      </c>
      <c r="BH11" s="153">
        <f>Datos!BP11/factor_trimestre</f>
        <v>0</v>
      </c>
      <c r="BI11" s="153">
        <f>Datos!BQ11/factor_trimestre</f>
        <v>0</v>
      </c>
      <c r="BJ11" s="153">
        <f>Datos!BR11/factor_trimestre</f>
        <v>0</v>
      </c>
      <c r="BK11" s="153">
        <f>Datos!BS11/factor_trimestre</f>
        <v>0</v>
      </c>
      <c r="BL11" s="153">
        <f>Datos!BT11/factor_trimestre</f>
        <v>0</v>
      </c>
      <c r="BM11" s="153">
        <f>Datos!BU11/factor_trimestre</f>
        <v>0</v>
      </c>
    </row>
    <row r="12" spans="1:65" ht="15" thickBot="1">
      <c r="A12" s="176">
        <f>Datos!AO12</f>
        <v>6</v>
      </c>
      <c r="B12" s="274" t="s">
        <v>246</v>
      </c>
      <c r="C12" s="7" t="str">
        <f>Datos!A12</f>
        <v xml:space="preserve">Jdos. 1ª Instª. e Instr./Secc. Civil y de Inst. TI                      </v>
      </c>
      <c r="D12" s="7"/>
      <c r="E12" s="1024">
        <f>IF(ISNUMBER(Datos!AQ12),Datos!AQ12," - ")</f>
        <v>6</v>
      </c>
      <c r="F12" s="224" t="str">
        <f>IF(ISNUMBER(AA12+W12-I12-K12),AA12+W12-I12-K12," - ")</f>
        <v xml:space="preserve"> - </v>
      </c>
      <c r="G12" s="332" t="str">
        <f>IF(ISNUMBER(IF(J_V="SI",Datos!I12,Datos!I12+Datos!Y12)-IF(Monitorios="SI",Datos!CA12,0)),
                          IF(J_V="SI",Datos!I12,Datos!I12+Datos!Y12)-IF(Monitorios="SI",Datos!CA12,0),
                          " - ")</f>
        <v xml:space="preserve"> - </v>
      </c>
      <c r="H12" s="224" t="str">
        <f>IF(ISNUMBER(Datos!DB12),Datos!DB12," - ")</f>
        <v xml:space="preserve"> - </v>
      </c>
      <c r="I12" s="225" t="str">
        <f>IF(ISNUMBER(Datos!DC12),Datos!DC12," - ")</f>
        <v xml:space="preserve"> - </v>
      </c>
      <c r="J12" s="225" t="str">
        <f>IF(ISNUMBER(Datos!DD12),Datos!DD12," - ")</f>
        <v xml:space="preserve"> - </v>
      </c>
      <c r="K12" s="225">
        <f>IF(ISNUMBER(Datos!DF12),Datos!DF12,0)</f>
        <v>0</v>
      </c>
      <c r="L12" s="225">
        <f>IF(ISNUMBER(Datos!P12),Datos!P12,0)</f>
        <v>639</v>
      </c>
      <c r="M12" s="225" t="str">
        <f>IF(ISNUMBER(Datos!DE12),Datos!DE12," - ")</f>
        <v xml:space="preserve"> - </v>
      </c>
      <c r="N12" s="225" t="str">
        <f>IF(ISNUMBER(H12+L12),H12+L12," - ")</f>
        <v xml:space="preserve"> - </v>
      </c>
      <c r="O12" s="311" t="e">
        <f ca="1">IF(ISNUMBER(INDIRECT("N"&amp;ROW()+salto-1)),N12+(INDIRECT("N"&amp;ROW()+salto-1))/9.15,N12/9.15+(INDIRECT("N"&amp;ROW()-salto+1)))</f>
        <v>#VALUE!</v>
      </c>
      <c r="P12" s="336" t="str">
        <f>IF(ISNUMBER((N12)/((BF12+BG12)/2)),(N12)/((BF12+BG12)/2)," - ")</f>
        <v xml:space="preserve"> - </v>
      </c>
      <c r="Q12" s="336" t="str">
        <f>IF(jurisdiccion="Jurisdicción Civil y Penal",IF(ISNUMBER((O12)/((BL12+BM12)/2)),(O12)/((BL12+BM12)/2)," - "),IF(ISNUMBER((N12)/((BF12+BG12)/2)),(N12)/((BF12+BG12)/2)," - "))</f>
        <v xml:space="preserve"> - </v>
      </c>
      <c r="R12" s="226" t="str">
        <f>IF(ISNUMBER(Datos!CB12),Datos!CB12," - ")</f>
        <v xml:space="preserve"> - </v>
      </c>
      <c r="S12" s="224" t="str">
        <f>IF(ISNUMBER(Datos!BY12),Datos!BY12," - ")</f>
        <v xml:space="preserve"> - </v>
      </c>
      <c r="T12" s="336" t="str">
        <f>IF(ISNUMBER((S12*factor_trimestre)/DatosB!CN12),(S12*factor_trimestre)/DatosB!CN12,"-")</f>
        <v>-</v>
      </c>
      <c r="U12" s="140" t="e">
        <f ca="1">IF(ISNUMBER(INDIRECT("S"&amp;ROW()+salto-1)),S12+(INDIRECT("S"&amp;ROW()+salto-1)),S12+(INDIRECT("S"&amp;ROW()-salto+1)))</f>
        <v>#VALUE!</v>
      </c>
      <c r="V12" s="336" t="str">
        <f ca="1">IF(ISNUMBER((U12*factor_trimestre)/DatosB!CN12),(U12*factor_trimestre)/DatosB!CN12,"-")</f>
        <v>-</v>
      </c>
      <c r="W12" s="224" t="str">
        <f>IF(ISNUMBER(IF(J_V="SI",Datos!K12,Datos!K12+Datos!AA12)-IF(Monitorios="SI",Datos!CC12,0)),
                          IF(J_V="SI",Datos!K12,Datos!K12+Datos!AA12)-IF(Monitorios="SI",Datos!CC12,0),
                          " - ")</f>
        <v xml:space="preserve"> - </v>
      </c>
      <c r="X12" s="225">
        <f>IF(ISNUMBER(Datos!Q12),Datos!Q12," - ")</f>
        <v>232</v>
      </c>
      <c r="Y12" s="333">
        <f t="shared" si="0"/>
        <v>232</v>
      </c>
      <c r="Z12" s="334" t="str">
        <f>IF(ISNUMBER(Datos!CC12),Datos!CC12," - ")</f>
        <v xml:space="preserve"> - </v>
      </c>
      <c r="AA12" s="331" t="str">
        <f>IF(ISNUMBER(IF(J_V="SI",Datos!L12,Datos!L12+Datos!AB12)-IF(Monitorios="SI",Datos!CD12,0)),
                          IF(J_V="SI",Datos!L12,Datos!L12+Datos!AB12)-IF(Monitorios="SI",Datos!CD12,0),
                          " - ")</f>
        <v xml:space="preserve"> - </v>
      </c>
      <c r="AB12" s="333">
        <f>IF(ISNUMBER(Datos!R12),Datos!R12," - ")</f>
        <v>9056</v>
      </c>
      <c r="AC12" s="333" t="str">
        <f t="shared" si="1"/>
        <v xml:space="preserve"> - </v>
      </c>
      <c r="AD12" s="334" t="str">
        <f>IF(ISNUMBER(Datos!CD12),Datos!CD12," - ")</f>
        <v xml:space="preserve"> - </v>
      </c>
      <c r="AE12" s="228" t="str">
        <f>IF(ISNUMBER(Datos!BV12),Datos!BV12," - ")</f>
        <v xml:space="preserve"> - </v>
      </c>
      <c r="AF12" s="224" t="str">
        <f>IF(ISNUMBER(Datos!CK12),Datos!CK12," - ")</f>
        <v xml:space="preserve"> - </v>
      </c>
      <c r="AG12" s="297" t="str">
        <f>IF(ISNUMBER(Datos!CL12),Datos!CL12," - ")</f>
        <v xml:space="preserve"> - </v>
      </c>
      <c r="AH12" s="226" t="str">
        <f>IF(ISNUMBER(Datos!CM12),Datos!CM12," - ")</f>
        <v xml:space="preserve"> - </v>
      </c>
      <c r="AI12" s="224">
        <f>IF(ISNUMBER(Datos!M12),Datos!M12," - ")</f>
        <v>442</v>
      </c>
      <c r="AJ12" s="228" t="str">
        <f>IF(ISNUMBER(Datos!BW12),Datos!BW12," - ")</f>
        <v xml:space="preserve"> - </v>
      </c>
      <c r="AK12" s="227" t="str">
        <f>IF(ISNUMBER(Datos!BX12),Datos!BX12," - ")</f>
        <v xml:space="preserve"> - </v>
      </c>
      <c r="AL12" s="242">
        <f>IF(ISNUMBER(NºAsuntos!G12/NºAsuntos!E12),NºAsuntos!G12/NºAsuntos!E12," - ")</f>
        <v>1.5804066543438078</v>
      </c>
      <c r="AM12" s="259">
        <f>IF(ISNUMBER(((NºAsuntos!I12/NºAsuntos!G12)*11)/factor_trimestre),((NºAsuntos!I12/NºAsuntos!G12)*11)/factor_trimestre," - ")</f>
        <v>7.1005847953216374</v>
      </c>
      <c r="AN12" s="243">
        <f>IF(ISNUMBER('Resol  Asuntos'!D12/NºAsuntos!G12),'Resol  Asuntos'!D12/NºAsuntos!G12," - ")</f>
        <v>0.17231968810916179</v>
      </c>
      <c r="AO12" s="244">
        <f>IF(ISNUMBER((NºAsuntos!C12+NºAsuntos!E12)/NºAsuntos!G12),(NºAsuntos!C12+NºAsuntos!E12)/NºAsuntos!G12," - ")</f>
        <v>3.3668615984405457</v>
      </c>
      <c r="AP12" s="229" t="str">
        <f t="shared" si="2"/>
        <v xml:space="preserve"> - </v>
      </c>
      <c r="AQ12" s="229" t="str">
        <f>IF(ISNUMBER((I12-W12+K12)/(F12)),(I12-W12+K12)/(F12)," - ")</f>
        <v xml:space="preserve"> - </v>
      </c>
      <c r="AR12" s="303" t="str">
        <f>IF(ISNUMBER((Datos!P12-Datos!Q12+M12)/(Datos!R12-Datos!P12+Datos!Q12-M12)),(Datos!P12-Datos!Q12+M12)/(Datos!R12-Datos!P12+Datos!Q12-M12)," - ")</f>
        <v xml:space="preserve"> - </v>
      </c>
      <c r="AS12" s="265" t="str">
        <f>IF(ISNUMBER(Datos!CS12),Datos!CS12," - ")</f>
        <v xml:space="preserve"> - </v>
      </c>
      <c r="AT12" s="265" t="str">
        <f>IF(ISNUMBER(Datos!CI12),Datos!CI12," - ")</f>
        <v xml:space="preserve"> - </v>
      </c>
      <c r="AU12" s="265" t="str">
        <f>IF(ISNUMBER(Datos!CJ12),Datos!CJ12," - ")</f>
        <v xml:space="preserve"> - </v>
      </c>
      <c r="AV12" s="265" t="str">
        <f>IF(ISNUMBER(Datos!CW12),Datos!CW12," - ")</f>
        <v xml:space="preserve"> - </v>
      </c>
      <c r="AW12" s="265" t="str">
        <f>IF(ISNUMBER(Datos!EV12),Datos!EV12," - ")</f>
        <v xml:space="preserve"> - </v>
      </c>
      <c r="AX12" s="265">
        <f>IF(ISNUMBER(Datos!CX12)," - ",Datos!CX12)</f>
        <v>0</v>
      </c>
      <c r="AY12" s="265" t="str">
        <f>IF(ISNUMBER(Datos!ET12),Datos!ET12," - ")</f>
        <v xml:space="preserve"> - </v>
      </c>
      <c r="AZ12" s="990" t="e">
        <f>(AY12/Datos!ER12)*factor_trimestre</f>
        <v>#VALUE!</v>
      </c>
      <c r="BF12" s="153">
        <f>Datos!BN12/factor_trimestre</f>
        <v>0</v>
      </c>
      <c r="BG12" s="153">
        <f>Datos!BO12/factor_trimestre</f>
        <v>0</v>
      </c>
      <c r="BH12" s="153">
        <f>Datos!BP12/factor_trimestre</f>
        <v>0</v>
      </c>
      <c r="BI12" s="153">
        <f>Datos!BQ12/factor_trimestre</f>
        <v>0</v>
      </c>
      <c r="BJ12" s="153">
        <f>Datos!BR12/factor_trimestre</f>
        <v>0</v>
      </c>
      <c r="BK12" s="153">
        <f>Datos!BS12/factor_trimestre</f>
        <v>0</v>
      </c>
      <c r="BL12" s="153">
        <f>Datos!BT12/factor_trimestre</f>
        <v>0</v>
      </c>
      <c r="BM12" s="153">
        <f>Datos!BU12/factor_trimestre</f>
        <v>0</v>
      </c>
    </row>
    <row r="13" spans="1:65" ht="15.75" thickTop="1" thickBot="1">
      <c r="A13" s="177"/>
      <c r="B13" s="177"/>
      <c r="C13" s="862" t="str">
        <f>Datos!A13</f>
        <v>TOTAL</v>
      </c>
      <c r="D13" s="862"/>
      <c r="E13" s="1160">
        <f t="shared" ref="E13:O13" si="3">SUBTOTAL(9,E8:E12)</f>
        <v>6</v>
      </c>
      <c r="F13" s="864">
        <f t="shared" si="3"/>
        <v>98</v>
      </c>
      <c r="G13" s="865">
        <f t="shared" si="3"/>
        <v>98</v>
      </c>
      <c r="H13" s="864">
        <f t="shared" si="3"/>
        <v>0</v>
      </c>
      <c r="I13" s="866">
        <f t="shared" si="3"/>
        <v>0</v>
      </c>
      <c r="J13" s="866">
        <f t="shared" si="3"/>
        <v>0</v>
      </c>
      <c r="K13" s="866">
        <f t="shared" si="3"/>
        <v>0</v>
      </c>
      <c r="L13" s="866">
        <f t="shared" si="3"/>
        <v>648</v>
      </c>
      <c r="M13" s="866">
        <f t="shared" si="3"/>
        <v>0</v>
      </c>
      <c r="N13" s="866">
        <f t="shared" si="3"/>
        <v>0</v>
      </c>
      <c r="O13" s="867" t="e">
        <f t="shared" ca="1" si="3"/>
        <v>#VALUE!</v>
      </c>
      <c r="P13" s="867"/>
      <c r="Q13" s="868" t="str">
        <f>IF(ISNUMBER((N13*factor_trimestre)/((Datos!BT13+Datos!BU13)/2)),(N13*factor_trimestre)/((Datos!BT13+Datos!BU13)/2)," - ")</f>
        <v xml:space="preserve"> - </v>
      </c>
      <c r="R13" s="869">
        <f>SUBTOTAL(9,R8:R12)</f>
        <v>0</v>
      </c>
      <c r="S13" s="864">
        <f>SUBTOTAL(9,S8:S12)</f>
        <v>0</v>
      </c>
      <c r="T13" s="870" t="str">
        <f>IF(ISNUMBER((S13*factor_trimestre)/DatosB!BM13),(S13*factor_trimestre)/DatosB!BM13,"-")</f>
        <v>-</v>
      </c>
      <c r="U13" s="864" t="e">
        <f ca="1">SUBTOTAL(9,U8:U12)</f>
        <v>#VALUE!</v>
      </c>
      <c r="V13" s="870" t="str">
        <f ca="1">IF(ISNUMBER((U13*factor_trimestre)/DatosB!CN13),(U13*factor_trimestre)/DatosB!CN13,"-")</f>
        <v>-</v>
      </c>
      <c r="W13" s="866">
        <f t="shared" ref="W13:AJ13" si="4">SUBTOTAL(9,W8:W12)</f>
        <v>12</v>
      </c>
      <c r="X13" s="866">
        <f t="shared" si="4"/>
        <v>233</v>
      </c>
      <c r="Y13" s="867">
        <f t="shared" si="4"/>
        <v>245</v>
      </c>
      <c r="Z13" s="867">
        <f t="shared" si="4"/>
        <v>0</v>
      </c>
      <c r="AA13" s="867">
        <f t="shared" si="4"/>
        <v>97</v>
      </c>
      <c r="AB13" s="867">
        <f t="shared" si="4"/>
        <v>9123</v>
      </c>
      <c r="AC13" s="867">
        <f t="shared" si="4"/>
        <v>164</v>
      </c>
      <c r="AD13" s="867">
        <f t="shared" si="4"/>
        <v>0</v>
      </c>
      <c r="AE13" s="871">
        <f t="shared" si="4"/>
        <v>0</v>
      </c>
      <c r="AF13" s="864">
        <f t="shared" si="4"/>
        <v>0</v>
      </c>
      <c r="AG13" s="872">
        <f t="shared" si="4"/>
        <v>0</v>
      </c>
      <c r="AH13" s="869">
        <f t="shared" si="4"/>
        <v>0</v>
      </c>
      <c r="AI13" s="864">
        <f t="shared" si="4"/>
        <v>450</v>
      </c>
      <c r="AJ13" s="866">
        <f t="shared" si="4"/>
        <v>0</v>
      </c>
      <c r="AK13" s="869">
        <f>SUBTOTAL(9,AK9:AK12)</f>
        <v>0</v>
      </c>
      <c r="AL13" s="873">
        <f>IF(ISNUMBER(NºAsuntos!G13/NºAsuntos!E13),NºAsuntos!G13/NºAsuntos!E13," - ")</f>
        <v>1.5771113831089352</v>
      </c>
      <c r="AM13" s="873">
        <f>IF(ISNUMBER(((NºAsuntos!I13/NºAsuntos!G13)*11)/factor_trimestre),((NºAsuntos!I13/NºAsuntos!G13)*11)/factor_trimestre," - ")</f>
        <v>7.1804423748544828</v>
      </c>
      <c r="AN13" s="874">
        <f>IF(ISNUMBER('Resol  Asuntos'!D13/NºAsuntos!G13),'Resol  Asuntos'!D13/NºAsuntos!G13," - ")</f>
        <v>0.17462165308498254</v>
      </c>
      <c r="AO13" s="875">
        <f>IF(ISNUMBER((NºAsuntos!C13+NºAsuntos!E13)/NºAsuntos!G13),(NºAsuntos!C13+NºAsuntos!E13)/NºAsuntos!G13," - ")</f>
        <v>3.3934807916181606</v>
      </c>
      <c r="AP13" s="876" t="str">
        <f t="shared" si="2"/>
        <v xml:space="preserve"> - </v>
      </c>
      <c r="AQ13" s="876">
        <f>IF(ISNUMBER((H13-W13+K13)/(F13)),(H13-W13+K13)/(F13)," - ")</f>
        <v>-0.12244897959183673</v>
      </c>
      <c r="AR13" s="877">
        <f>IF(ISNUMBER((Datos!P13-Datos!Q13)/(Datos!R13-Datos!P13+Datos!Q13)),(Datos!P13-Datos!Q13)/(Datos!R13-Datos!P13+Datos!Q13)," - ")</f>
        <v>4.7657326596233347E-2</v>
      </c>
      <c r="AS13" s="863">
        <f>SUBTOTAL(9,AS8:AS12)</f>
        <v>0</v>
      </c>
      <c r="AT13" s="863">
        <f>SUBTOTAL(9,AT8:AT12)</f>
        <v>0</v>
      </c>
      <c r="AU13" s="863">
        <f>SUBTOTAL(9,AU8:AU12)</f>
        <v>0</v>
      </c>
      <c r="AV13" s="863">
        <f>SUBTOTAL(9,AV8:AV12)</f>
        <v>0</v>
      </c>
      <c r="AW13" s="863">
        <f>SUBTOTAL(9,AW8:AW12)</f>
        <v>0</v>
      </c>
      <c r="AX13" s="878"/>
      <c r="AY13" s="866">
        <f>SUBTOTAL(9,AY8:AY12)</f>
        <v>0</v>
      </c>
      <c r="AZ13" s="868" t="e">
        <f>SUBTOTAL(9,AZ8:AZ12)</f>
        <v>#VALUE!</v>
      </c>
      <c r="BF13" s="150">
        <f t="shared" ref="BF13:BM13" si="5">SUM(BF8:BF12)</f>
        <v>0</v>
      </c>
      <c r="BG13" s="150">
        <f t="shared" si="5"/>
        <v>0</v>
      </c>
      <c r="BH13" s="150">
        <f t="shared" si="5"/>
        <v>0</v>
      </c>
      <c r="BI13" s="150">
        <f t="shared" si="5"/>
        <v>0</v>
      </c>
      <c r="BJ13" s="150">
        <f t="shared" si="5"/>
        <v>0</v>
      </c>
      <c r="BK13" s="150">
        <f t="shared" si="5"/>
        <v>0</v>
      </c>
      <c r="BL13" s="150">
        <f t="shared" si="5"/>
        <v>0</v>
      </c>
      <c r="BM13" s="150">
        <f t="shared" si="5"/>
        <v>0</v>
      </c>
    </row>
    <row r="14" spans="1:65" ht="15" thickTop="1">
      <c r="A14" s="178"/>
      <c r="B14" s="178"/>
      <c r="C14" s="285" t="str">
        <f>Datos!A14</f>
        <v xml:space="preserve">Jurisdicción Penal ( 2 ):                      </v>
      </c>
      <c r="D14" s="285"/>
      <c r="E14" s="286"/>
      <c r="F14" s="233"/>
      <c r="G14" s="233"/>
      <c r="H14" s="215"/>
      <c r="I14" s="216"/>
      <c r="J14" s="216"/>
      <c r="K14" s="216"/>
      <c r="L14" s="216"/>
      <c r="M14" s="216"/>
      <c r="N14" s="216"/>
      <c r="O14" s="216"/>
      <c r="P14" s="216"/>
      <c r="Q14" s="343"/>
      <c r="R14" s="216"/>
      <c r="S14" s="267"/>
      <c r="T14" s="343"/>
      <c r="U14" s="280"/>
      <c r="V14" s="344"/>
      <c r="W14" s="215"/>
      <c r="X14" s="216"/>
      <c r="Y14" s="216"/>
      <c r="Z14" s="216"/>
      <c r="AA14" s="215"/>
      <c r="AB14" s="216"/>
      <c r="AC14" s="216"/>
      <c r="AD14" s="216"/>
      <c r="AE14" s="335"/>
      <c r="AF14" s="233"/>
      <c r="AG14" s="234"/>
      <c r="AH14" s="235"/>
      <c r="AI14" s="233"/>
      <c r="AJ14" s="233"/>
      <c r="AK14" s="235"/>
      <c r="AL14" s="267"/>
      <c r="AM14" s="280"/>
      <c r="AN14" s="280"/>
      <c r="AO14" s="237"/>
      <c r="AP14" s="286"/>
      <c r="AQ14" s="286"/>
      <c r="AR14" s="304"/>
      <c r="AS14" s="308"/>
      <c r="AT14" s="286"/>
      <c r="AU14" s="286"/>
      <c r="AV14" s="286"/>
      <c r="AW14" s="286"/>
      <c r="AX14" s="299"/>
      <c r="AY14" s="299"/>
      <c r="AZ14" s="991"/>
      <c r="BF14" s="151"/>
      <c r="BG14" s="151"/>
      <c r="BH14" s="151"/>
      <c r="BI14" s="151"/>
      <c r="BJ14" s="151"/>
      <c r="BK14" s="151"/>
      <c r="BL14" s="151"/>
      <c r="BM14" s="151"/>
    </row>
    <row r="15" spans="1:65" ht="14.25">
      <c r="A15" s="176">
        <f>Datos!AO15</f>
        <v>0</v>
      </c>
      <c r="B15" s="274" t="s">
        <v>396</v>
      </c>
      <c r="C15" s="159" t="str">
        <f>Datos!A15</f>
        <v xml:space="preserve">Jdos. Instrucción                               </v>
      </c>
      <c r="D15" s="159"/>
      <c r="E15" s="1024">
        <f>IF(ISNUMBER(Datos!AQ15),Datos!AQ15," - ")</f>
        <v>0</v>
      </c>
      <c r="F15" s="224" t="str">
        <f>IF(ISNUMBER(AA15+W15-Datos!J15-K15),AA15+W15-Datos!J15-K15," - ")</f>
        <v xml:space="preserve"> - </v>
      </c>
      <c r="G15" s="332" t="str">
        <f>IF(ISNUMBER(IF(D_I="SI",Datos!I15,Datos!I15+Datos!AC15)),IF(D_I="SI",Datos!I15,Datos!I15+Datos!AC15)," - ")</f>
        <v xml:space="preserve"> - </v>
      </c>
      <c r="H15" s="224" t="str">
        <f>IF(ISNUMBER(Datos!DB15),Datos!DB15," - ")</f>
        <v xml:space="preserve"> - </v>
      </c>
      <c r="I15" s="225" t="str">
        <f>IF(ISNUMBER(Datos!DC15),Datos!DC15," - ")</f>
        <v xml:space="preserve"> - </v>
      </c>
      <c r="J15" s="225" t="str">
        <f>IF(ISNUMBER(Datos!DD15),Datos!DD15," - ")</f>
        <v xml:space="preserve"> - </v>
      </c>
      <c r="K15" s="225">
        <f>IF(ISNUMBER(Datos!DF15),Datos!DF15,0)</f>
        <v>0</v>
      </c>
      <c r="L15" s="225">
        <f>IF(ISNUMBER(Datos!P15),Datos!P15,0)</f>
        <v>0</v>
      </c>
      <c r="M15" s="225" t="str">
        <f>IF(ISNUMBER(Datos!DE15),Datos!DE15," - ")</f>
        <v xml:space="preserve"> - </v>
      </c>
      <c r="N15" s="225" t="str">
        <f>IF(ISNUMBER(H15),H15," - ")</f>
        <v xml:space="preserve"> - </v>
      </c>
      <c r="O15" s="333"/>
      <c r="P15" s="336" t="str">
        <f>IF(ISNUMBER((N15)/((BL15+BM15)/2)),(N15)/((BL15+BM15)/2)," - ")</f>
        <v xml:space="preserve"> - </v>
      </c>
      <c r="Q15" s="336" t="str">
        <f>IF(ISNUMBER((N15)/((BL15+BM15)/2)),(N15)/((BL15+BM15)/2)," - ")</f>
        <v xml:space="preserve"> - </v>
      </c>
      <c r="R15" s="226" t="str">
        <f>IF(ISNUMBER(Datos!CB15),Datos!CB15," - ")</f>
        <v xml:space="preserve"> - </v>
      </c>
      <c r="S15" s="224">
        <f>IF(ISNUMBER(Datos!BY15+Datos!BZ15*1.16),Datos!BY15+Datos!BZ15*1.16," - ")</f>
        <v>0</v>
      </c>
      <c r="T15" s="336">
        <f>IF(ISNUMBER((S15*factor_trimestre)/DatosB!CN15),(S15*factor_trimestre)/DatosB!CN15,"-")</f>
        <v>0</v>
      </c>
      <c r="U15" s="297"/>
      <c r="V15" s="336">
        <f>IF(ISNUMBER((U15*factor_trimestre)/DatosB!CN15),(U15*factor_trimestre)/DatosB!CN15,"-")</f>
        <v>0</v>
      </c>
      <c r="W15" s="224" t="str">
        <f>IF(ISNUMBER(IF(D_I="SI",Datos!K15,Datos!K15+Datos!AE15)),IF(D_I="SI",Datos!K15,Datos!K15+Datos!AE15)," - ")</f>
        <v xml:space="preserve"> - </v>
      </c>
      <c r="X15" s="225" t="str">
        <f>IF(ISNUMBER(Datos!Q15),Datos!Q15," - ")</f>
        <v xml:space="preserve"> - </v>
      </c>
      <c r="Y15" s="333">
        <f>SUM(W15)</f>
        <v>0</v>
      </c>
      <c r="Z15" s="334" t="str">
        <f>IF(ISNUMBER(Datos!CC15),Datos!CC15," - ")</f>
        <v xml:space="preserve"> - </v>
      </c>
      <c r="AA15" s="331" t="str">
        <f>IF(ISNUMBER(IF(D_I="SI",Datos!L15,Datos!L15+Datos!AF15)),IF(D_I="SI",Datos!L15,Datos!L15+Datos!AF15)," - ")</f>
        <v xml:space="preserve"> - </v>
      </c>
      <c r="AB15" s="333" t="str">
        <f>IF(ISNUMBER(Datos!R15),Datos!R15," - ")</f>
        <v xml:space="preserve"> - </v>
      </c>
      <c r="AC15" s="333" t="str">
        <f t="shared" ref="AC15:AC17" si="6">IF(ISNUMBER(AA15+AB15),AA15+AB15," - ")</f>
        <v xml:space="preserve"> - </v>
      </c>
      <c r="AD15" s="334" t="str">
        <f>IF(ISNUMBER(Datos!CD15),Datos!CD15," - ")</f>
        <v xml:space="preserve"> - </v>
      </c>
      <c r="AE15" s="228" t="str">
        <f>IF(ISNUMBER(Datos!BV15),Datos!BV15," - ")</f>
        <v xml:space="preserve"> - </v>
      </c>
      <c r="AF15" s="224" t="str">
        <f>IF(ISNUMBER(Datos!CK15),Datos!CK15," - ")</f>
        <v xml:space="preserve"> - </v>
      </c>
      <c r="AG15" s="297" t="str">
        <f>IF(ISNUMBER(Datos!CL15),Datos!CL15," - ")</f>
        <v xml:space="preserve"> - </v>
      </c>
      <c r="AH15" s="226" t="str">
        <f>IF(ISNUMBER(Datos!CM15),Datos!CM15," - ")</f>
        <v xml:space="preserve"> - </v>
      </c>
      <c r="AI15" s="224" t="str">
        <f>IF(ISNUMBER(Datos!M15),Datos!M15," - ")</f>
        <v xml:space="preserve"> - </v>
      </c>
      <c r="AJ15" s="230" t="str">
        <f>IF(ISNUMBER(Datos!BW15),Datos!BW15," - ")</f>
        <v xml:space="preserve"> - </v>
      </c>
      <c r="AK15" s="231" t="str">
        <f>IF(ISNUMBER(Datos!BX15),Datos!BX15," - ")</f>
        <v xml:space="preserve"> - </v>
      </c>
      <c r="AL15" s="242" t="str">
        <f>IF(ISNUMBER(NºAsuntos!G15/NºAsuntos!E15),NºAsuntos!G15/NºAsuntos!E15," - ")</f>
        <v xml:space="preserve"> - </v>
      </c>
      <c r="AM15" s="259" t="str">
        <f>IF(ISNUMBER(((NºAsuntos!I15/NºAsuntos!G15)*11)/factor_trimestre),((NºAsuntos!I15/NºAsuntos!G15)*11)/factor_trimestre," - ")</f>
        <v xml:space="preserve"> - </v>
      </c>
      <c r="AN15" s="243" t="str">
        <f>IF(ISNUMBER('Resol  Asuntos'!D15/NºAsuntos!G15),'Resol  Asuntos'!D15/NºAsuntos!G15," - ")</f>
        <v xml:space="preserve"> - </v>
      </c>
      <c r="AO15" s="244" t="str">
        <f>IF(ISNUMBER((NºAsuntos!C15+NºAsuntos!E15)/NºAsuntos!G15),(NºAsuntos!C15+NºAsuntos!E15)/NºAsuntos!G15," - ")</f>
        <v xml:space="preserve"> - </v>
      </c>
      <c r="AP15" s="229" t="str">
        <f t="shared" si="2"/>
        <v xml:space="preserve"> - </v>
      </c>
      <c r="AQ15" s="229" t="str">
        <f>IF(ISNUMBER((I15-W15+K15)/(F15)),(I15-W15+K15)/(F15)," - ")</f>
        <v xml:space="preserve"> - </v>
      </c>
      <c r="AR15" s="303" t="str">
        <f>IF(ISNUMBER((Datos!P15-Datos!Q15+M15)/(Datos!R15-Datos!P15+Datos!Q15-M15)),(Datos!P15-Datos!Q15+M15)/(Datos!R15-Datos!P15+Datos!Q15-M15)," - ")</f>
        <v xml:space="preserve"> - </v>
      </c>
      <c r="AS15" s="265" t="str">
        <f>IF(ISNUMBER(Datos!CS15),Datos!CS15," - ")</f>
        <v xml:space="preserve"> - </v>
      </c>
      <c r="AT15" s="265" t="str">
        <f>IF(ISNUMBER(Datos!CI15),Datos!CI15," - ")</f>
        <v xml:space="preserve"> - </v>
      </c>
      <c r="AU15" s="265" t="str">
        <f>IF(ISNUMBER(Datos!CJ15),Datos!CJ15," - ")</f>
        <v xml:space="preserve"> - </v>
      </c>
      <c r="AV15" s="265" t="str">
        <f>IF(ISNUMBER(Datos!CW15),Datos!CW15," - ")</f>
        <v xml:space="preserve"> - </v>
      </c>
      <c r="AW15" s="265" t="str">
        <f>IF(ISNUMBER(Datos!EV15),Datos!EV15," - ")</f>
        <v xml:space="preserve"> - </v>
      </c>
      <c r="AX15" s="265">
        <f>IF(ISNUMBER(Datos!CX15)," - ",Datos!CX15)</f>
        <v>0</v>
      </c>
      <c r="AY15" s="265" t="str">
        <f>IF(ISNUMBER(Datos!ET15),Datos!ET15," - ")</f>
        <v xml:space="preserve"> - </v>
      </c>
      <c r="AZ15" s="990" t="e">
        <f>(AY15/Datos!ER15)*factor_trimestre</f>
        <v>#VALUE!</v>
      </c>
      <c r="BF15" s="153">
        <f>Datos!BN15/factor_trimestre</f>
        <v>0</v>
      </c>
      <c r="BG15" s="153">
        <f>Datos!BO15/factor_trimestre</f>
        <v>0</v>
      </c>
      <c r="BH15" s="153">
        <f>Datos!BP15/factor_trimestre</f>
        <v>0</v>
      </c>
      <c r="BI15" s="153">
        <f>Datos!BQ15/factor_trimestre</f>
        <v>0</v>
      </c>
      <c r="BJ15" s="153">
        <f>Datos!BR15/factor_trimestre</f>
        <v>0</v>
      </c>
      <c r="BK15" s="153">
        <f>Datos!BS15/factor_trimestre</f>
        <v>0</v>
      </c>
      <c r="BL15" s="153">
        <f>Datos!BT15/factor_trimestre</f>
        <v>0</v>
      </c>
      <c r="BM15" s="153">
        <f>Datos!BU15/factor_trimestre</f>
        <v>0</v>
      </c>
    </row>
    <row r="16" spans="1:65" ht="14.25">
      <c r="A16" s="176">
        <f>Datos!AO16</f>
        <v>6</v>
      </c>
      <c r="B16" s="274" t="s">
        <v>396</v>
      </c>
      <c r="C16" s="159" t="str">
        <f>Datos!A16</f>
        <v xml:space="preserve">Jdos. 1ª Instª. e Instr./Secc. Civil y de Inst. TI                      </v>
      </c>
      <c r="D16" s="159"/>
      <c r="E16" s="1024">
        <f>IF(ISNUMBER(Datos!AQ16),Datos!AQ16," - ")</f>
        <v>6</v>
      </c>
      <c r="F16" s="224">
        <f>IF(ISNUMBER(AA16+W16-Datos!J16-K16),AA16+W16-Datos!J16-K16," - ")</f>
        <v>3108</v>
      </c>
      <c r="G16" s="332">
        <f>IF(ISNUMBER(IF(D_I="SI",Datos!I16,Datos!I16+Datos!AC16)),IF(D_I="SI",Datos!I16,Datos!I16+Datos!AC16)," - ")</f>
        <v>3362</v>
      </c>
      <c r="H16" s="224" t="str">
        <f>IF(ISNUMBER(Datos!DB16),Datos!DB16," - ")</f>
        <v xml:space="preserve"> - </v>
      </c>
      <c r="I16" s="225" t="str">
        <f>IF(ISNUMBER(Datos!DC16),Datos!DC16," - ")</f>
        <v xml:space="preserve"> - </v>
      </c>
      <c r="J16" s="225" t="str">
        <f>IF(ISNUMBER(Datos!DD16),Datos!DD16," - ")</f>
        <v xml:space="preserve"> - </v>
      </c>
      <c r="K16" s="225">
        <f>IF(ISNUMBER(Datos!DF16),Datos!DF16,0)</f>
        <v>0</v>
      </c>
      <c r="L16" s="225">
        <f>IF(ISNUMBER(Datos!P16),Datos!P16,0)</f>
        <v>38</v>
      </c>
      <c r="M16" s="225" t="str">
        <f>IF(ISNUMBER(Datos!DE16),Datos!DE16," - ")</f>
        <v xml:space="preserve"> - </v>
      </c>
      <c r="N16" s="225" t="str">
        <f>IF(ISNUMBER(H16),H16," - ")</f>
        <v xml:space="preserve"> - </v>
      </c>
      <c r="O16" s="311" t="e">
        <f ca="1">IF(ISNUMBER(INDIRECT("N"&amp;ROW()+salto-1)),N16+(INDIRECT("N"&amp;ROW()+salto-1))/9.15,N16/9.15+(INDIRECT("N"&amp;ROW()-salto+1)))</f>
        <v>#VALUE!</v>
      </c>
      <c r="P16" s="336" t="str">
        <f>IF(ISNUMBER((N16)/((BF16+BG16)/2)),(N16)/((BF16+BG16)/2)," - ")</f>
        <v xml:space="preserve"> - </v>
      </c>
      <c r="Q16" s="336" t="str">
        <f>IF(jurisdiccion="Jurisdicción Civil y Penal",IF(ISNUMBER((O16)/((BL16+BM16)/2)),(O16)/((BL16+BM16)/2)," - "),IF(ISNUMBER((N16)/((BF16+BG16)/2)),(N16)/((BF16+BG16)/2)," - "))</f>
        <v xml:space="preserve"> - </v>
      </c>
      <c r="R16" s="226" t="str">
        <f>IF(ISNUMBER(Datos!CB16),Datos!CB16," - ")</f>
        <v xml:space="preserve"> - </v>
      </c>
      <c r="S16" s="224" t="str">
        <f>IF(ISNUMBER(Datos!BY16),Datos!BY16," - ")</f>
        <v xml:space="preserve"> - </v>
      </c>
      <c r="T16" s="336" t="str">
        <f>IF(ISNUMBER((S16*factor_trimestre)/DatosB!CN16),(S16*factor_trimestre)/DatosB!CN16,"-")</f>
        <v>-</v>
      </c>
      <c r="U16" s="140" t="e">
        <f ca="1">IF(ISNUMBER(INDIRECT("S"&amp;ROW()+salto-1)),S16+(INDIRECT("S"&amp;ROW()+salto-1)),S16+(INDIRECT("S"&amp;ROW()-salto+1)))</f>
        <v>#VALUE!</v>
      </c>
      <c r="V16" s="336" t="str">
        <f ca="1">IF(ISNUMBER((U16*factor_trimestre)/DatosB!CN16),(U16*factor_trimestre)/DatosB!CN16,"-")</f>
        <v>-</v>
      </c>
      <c r="W16" s="224">
        <f>IF(ISNUMBER(IF(D_I="SI",Datos!K16,Datos!K16+Datos!AE16)),IF(D_I="SI",Datos!K16,Datos!K16+Datos!AE16)," - ")</f>
        <v>1556</v>
      </c>
      <c r="X16" s="225">
        <f>IF(ISNUMBER(Datos!Q16),Datos!Q16," - ")</f>
        <v>34</v>
      </c>
      <c r="Y16" s="333">
        <f t="shared" ref="Y16:Y17" si="7">SUM(W16:X16)</f>
        <v>1590</v>
      </c>
      <c r="Z16" s="334" t="str">
        <f>IF(ISNUMBER(Datos!CC16),Datos!CC16," - ")</f>
        <v xml:space="preserve"> - </v>
      </c>
      <c r="AA16" s="331">
        <f>IF(ISNUMBER(IF(D_I="SI",Datos!L16,Datos!L16+Datos!AF16)),IF(D_I="SI",Datos!L16,Datos!L16+Datos!AF16)," - ")</f>
        <v>3347</v>
      </c>
      <c r="AB16" s="333">
        <f>IF(ISNUMBER(Datos!R16),Datos!R16," - ")</f>
        <v>339</v>
      </c>
      <c r="AC16" s="333">
        <f t="shared" si="6"/>
        <v>3686</v>
      </c>
      <c r="AD16" s="334" t="str">
        <f>IF(ISNUMBER(Datos!CD16),Datos!CD16," - ")</f>
        <v xml:space="preserve"> - </v>
      </c>
      <c r="AE16" s="228" t="str">
        <f>IF(ISNUMBER(Datos!BV16),Datos!BV16," - ")</f>
        <v xml:space="preserve"> - </v>
      </c>
      <c r="AF16" s="224" t="str">
        <f>IF(ISNUMBER(Datos!CK16),Datos!CK16," - ")</f>
        <v xml:space="preserve"> - </v>
      </c>
      <c r="AG16" s="297" t="str">
        <f>IF(ISNUMBER(Datos!CL16),Datos!CL16," - ")</f>
        <v xml:space="preserve"> - </v>
      </c>
      <c r="AH16" s="226" t="str">
        <f>IF(ISNUMBER(Datos!CM16),Datos!CM16," - ")</f>
        <v xml:space="preserve"> - </v>
      </c>
      <c r="AI16" s="224">
        <f>IF(ISNUMBER(Datos!M16),Datos!M16," - ")</f>
        <v>259</v>
      </c>
      <c r="AJ16" s="230" t="str">
        <f>IF(ISNUMBER(Datos!BW16),Datos!BW16," - ")</f>
        <v xml:space="preserve"> - </v>
      </c>
      <c r="AK16" s="231" t="str">
        <f>IF(ISNUMBER(Datos!BX16),Datos!BX16," - ")</f>
        <v xml:space="preserve"> - </v>
      </c>
      <c r="AL16" s="242">
        <f>IF(ISNUMBER(NºAsuntos!G16/NºAsuntos!E16),NºAsuntos!G16/NºAsuntos!E16," - ")</f>
        <v>0.86685236768802232</v>
      </c>
      <c r="AM16" s="259">
        <f>IF(ISNUMBER(((NºAsuntos!I16/NºAsuntos!G16)*11)/factor_trimestre),((NºAsuntos!I16/NºAsuntos!G16)*11)/factor_trimestre," - ")</f>
        <v>6.4530848329048851</v>
      </c>
      <c r="AN16" s="243">
        <f>IF(ISNUMBER('Resol  Asuntos'!D16/NºAsuntos!G16),'Resol  Asuntos'!D16/NºAsuntos!G16," - ")</f>
        <v>0.16645244215938304</v>
      </c>
      <c r="AO16" s="244">
        <f>IF(ISNUMBER((NºAsuntos!C16+NºAsuntos!E16)/NºAsuntos!G16),(NºAsuntos!C16+NºAsuntos!E16)/NºAsuntos!G16," - ")</f>
        <v>3.3142673521850901</v>
      </c>
      <c r="AP16" s="229" t="str">
        <f t="shared" si="2"/>
        <v xml:space="preserve"> - </v>
      </c>
      <c r="AQ16" s="229" t="str">
        <f>IF(ISNUMBER((I16-W16+K16)/(F16)),(I16-W16+K16)/(F16)," - ")</f>
        <v xml:space="preserve"> - </v>
      </c>
      <c r="AR16" s="303" t="str">
        <f>IF(ISNUMBER((Datos!P16-Datos!Q16+M16)/(Datos!R16-Datos!P16+Datos!Q16-M16)),(Datos!P16-Datos!Q16+M16)/(Datos!R16-Datos!P16+Datos!Q16-M16)," - ")</f>
        <v xml:space="preserve"> - </v>
      </c>
      <c r="AS16" s="265" t="str">
        <f>IF(ISNUMBER(Datos!CS16),Datos!CS16," - ")</f>
        <v xml:space="preserve"> - </v>
      </c>
      <c r="AT16" s="265" t="str">
        <f>IF(ISNUMBER(Datos!CI16),Datos!CI16," - ")</f>
        <v xml:space="preserve"> - </v>
      </c>
      <c r="AU16" s="265" t="str">
        <f>IF(ISNUMBER(Datos!CJ16),Datos!CJ16," - ")</f>
        <v xml:space="preserve"> - </v>
      </c>
      <c r="AV16" s="265" t="str">
        <f>IF(ISNUMBER(Datos!CW16),Datos!CW16," - ")</f>
        <v xml:space="preserve"> - </v>
      </c>
      <c r="AW16" s="265" t="str">
        <f>IF(ISNUMBER(Datos!EV16),Datos!EV16," - ")</f>
        <v xml:space="preserve"> - </v>
      </c>
      <c r="AX16" s="265">
        <f>IF(ISNUMBER(Datos!CX16)," - ",Datos!CX16)</f>
        <v>0</v>
      </c>
      <c r="AY16" s="265" t="str">
        <f>IF(ISNUMBER(Datos!ET16),Datos!ET16," - ")</f>
        <v xml:space="preserve"> - </v>
      </c>
      <c r="AZ16" s="990" t="e">
        <f>(AY16/Datos!ER16)*factor_trimestre</f>
        <v>#VALUE!</v>
      </c>
      <c r="BF16" s="153">
        <f>Datos!BN16/factor_trimestre</f>
        <v>0</v>
      </c>
      <c r="BG16" s="153">
        <f>Datos!BO16/factor_trimestre</f>
        <v>0</v>
      </c>
      <c r="BH16" s="153">
        <f>Datos!BP16/factor_trimestre</f>
        <v>0</v>
      </c>
      <c r="BI16" s="153">
        <f>Datos!BQ16/factor_trimestre</f>
        <v>0</v>
      </c>
      <c r="BJ16" s="153">
        <f>Datos!BR16/factor_trimestre</f>
        <v>0</v>
      </c>
      <c r="BK16" s="153">
        <f>Datos!BS16/factor_trimestre</f>
        <v>0</v>
      </c>
      <c r="BL16" s="153">
        <f>Datos!BT16/factor_trimestre</f>
        <v>0</v>
      </c>
      <c r="BM16" s="153">
        <f>Datos!BU16/factor_trimestre</f>
        <v>0</v>
      </c>
    </row>
    <row r="17" spans="1:65" ht="15" thickBot="1">
      <c r="A17" s="176">
        <f>Datos!AO17</f>
        <v>1</v>
      </c>
      <c r="B17" s="274" t="s">
        <v>396</v>
      </c>
      <c r="C17" s="7" t="str">
        <f>Datos!A17</f>
        <v>Jdos. Violencia contra la mujer/Secc Viol. TI.</v>
      </c>
      <c r="D17" s="7"/>
      <c r="E17" s="1024">
        <f>IF(ISNUMBER(Datos!AQ17),Datos!AQ17," - ")</f>
        <v>0</v>
      </c>
      <c r="F17" s="224" t="str">
        <f>IF(ISNUMBER(AA17+W17-H17-K17),AA17+W17-H17-K17," - ")</f>
        <v xml:space="preserve"> - </v>
      </c>
      <c r="G17" s="332">
        <f>IF(ISNUMBER(IF(D_I="SI",Datos!I17,Datos!I17+Datos!AC17)),IF(D_I="SI",Datos!I17,Datos!I17+Datos!AC17)," - ")</f>
        <v>75</v>
      </c>
      <c r="H17" s="224" t="str">
        <f>IF(ISNUMBER(Datos!DB17),Datos!DB17," - ")</f>
        <v xml:space="preserve"> - </v>
      </c>
      <c r="I17" s="225" t="str">
        <f>IF(ISNUMBER(Datos!DC17),Datos!DC17," - ")</f>
        <v xml:space="preserve"> - </v>
      </c>
      <c r="J17" s="225" t="str">
        <f>IF(ISNUMBER(Datos!DD17),Datos!DD17," - ")</f>
        <v xml:space="preserve"> - </v>
      </c>
      <c r="K17" s="225">
        <f>IF(ISNUMBER(Datos!DF17),Datos!DF17,0)</f>
        <v>0</v>
      </c>
      <c r="L17" s="225">
        <f>IF(ISNUMBER(Datos!P17),Datos!P17,0)</f>
        <v>0</v>
      </c>
      <c r="M17" s="225" t="str">
        <f>IF(ISNUMBER(Datos!DE17),Datos!DE17," - ")</f>
        <v xml:space="preserve"> - </v>
      </c>
      <c r="N17" s="225" t="str">
        <f>IF(ISNUMBER(H17),H17," - ")</f>
        <v xml:space="preserve"> - </v>
      </c>
      <c r="O17" s="311" t="e">
        <f ca="1">IF(ISNUMBER(INDIRECT("N"&amp;ROW()+salto-1)),N17+(INDIRECT("N"&amp;ROW()+salto-1)),N17+(INDIRECT("N"&amp;ROW()-salto+1)))</f>
        <v>#VALUE!</v>
      </c>
      <c r="P17" s="336" t="str">
        <f t="shared" ref="P17" si="8">IF(ISNUMBER((N17)/((BL17+BM17)/2)),(N17)/((BL17+BM17)/2)," - ")</f>
        <v xml:space="preserve"> - </v>
      </c>
      <c r="Q17" s="336" t="str">
        <f>IF(jurisdiccion="Jurisdicción Civil y Penal",IF(ISNUMBER((O17)/((BL17+BM17)/2)),(O17)/((BL17+BM17)/2)," - "),IF(ISNUMBER((N17)/((BF17+BG17)/2)),(N17)/((BF17+BG17)/2)," - "))</f>
        <v xml:space="preserve"> - </v>
      </c>
      <c r="R17" s="226" t="str">
        <f>IF(ISNUMBER(Datos!CB17),Datos!CB17," - ")</f>
        <v xml:space="preserve"> - </v>
      </c>
      <c r="S17" s="224" t="str">
        <f>IF(ISNUMBER(Datos!BY17+Datos!BZ17),Datos!BY17+Datos!BZ17," - ")</f>
        <v xml:space="preserve"> - </v>
      </c>
      <c r="T17" s="336" t="str">
        <f>IF(ISNUMBER((S17*factor_trimestre)/DatosB!CN17),(S17*factor_trimestre)/DatosB!CN17,"-")</f>
        <v>-</v>
      </c>
      <c r="U17" s="140" t="e">
        <f ca="1">IF(ISNUMBER(INDIRECT("S"&amp;ROW()+salto-1)),S17+(INDIRECT("S"&amp;ROW()+salto-1)),S17+(INDIRECT("S"&amp;ROW()-salto+1)))</f>
        <v>#VALUE!</v>
      </c>
      <c r="V17" s="336" t="str">
        <f ca="1">IF(ISNUMBER((U17*factor_trimestre)/DatosB!CN17),(U17*factor_trimestre)/DatosB!CN17,"-")</f>
        <v>-</v>
      </c>
      <c r="W17" s="224">
        <f>IF(ISNUMBER(IF(D_I="SI",Datos!K17,Datos!K17+Datos!AE17)),IF(D_I="SI",Datos!K17,Datos!K17+Datos!AE17)," - ")</f>
        <v>132</v>
      </c>
      <c r="X17" s="225">
        <f>IF(ISNUMBER(Datos!Q17),Datos!Q17," - ")</f>
        <v>1</v>
      </c>
      <c r="Y17" s="333">
        <f t="shared" si="7"/>
        <v>133</v>
      </c>
      <c r="Z17" s="334" t="str">
        <f>IF(ISNUMBER(Datos!CC17),Datos!CC17," - ")</f>
        <v xml:space="preserve"> - </v>
      </c>
      <c r="AA17" s="331">
        <f>IF(ISNUMBER(Datos!L17),Datos!L17,"-")</f>
        <v>49</v>
      </c>
      <c r="AB17" s="333">
        <f>IF(ISNUMBER(Datos!R17),Datos!R17," - ")</f>
        <v>6</v>
      </c>
      <c r="AC17" s="333">
        <f t="shared" si="6"/>
        <v>55</v>
      </c>
      <c r="AD17" s="334" t="str">
        <f>IF(ISNUMBER(Datos!CD17),Datos!CD17," - ")</f>
        <v xml:space="preserve"> - </v>
      </c>
      <c r="AE17" s="228" t="str">
        <f>IF(ISNUMBER(Datos!BV17),Datos!BV17," - ")</f>
        <v xml:space="preserve"> - </v>
      </c>
      <c r="AF17" s="224" t="str">
        <f>IF(ISNUMBER(Datos!CK17),Datos!CK17," - ")</f>
        <v xml:space="preserve"> - </v>
      </c>
      <c r="AG17" s="297" t="str">
        <f>IF(ISNUMBER(Datos!CL17),Datos!CL17," - ")</f>
        <v xml:space="preserve"> - </v>
      </c>
      <c r="AH17" s="226" t="str">
        <f>IF(ISNUMBER(Datos!CM17),Datos!CM17," - ")</f>
        <v xml:space="preserve"> - </v>
      </c>
      <c r="AI17" s="224">
        <f>IF(ISNUMBER(Datos!M17),Datos!M17," - ")</f>
        <v>18</v>
      </c>
      <c r="AJ17" s="230" t="str">
        <f>IF(ISNUMBER(Datos!BW17),Datos!BW17," - ")</f>
        <v xml:space="preserve"> - </v>
      </c>
      <c r="AK17" s="231" t="str">
        <f>IF(ISNUMBER(Datos!BX17),Datos!BX17," - ")</f>
        <v xml:space="preserve"> - </v>
      </c>
      <c r="AL17" s="242">
        <f>IF(ISNUMBER(NºAsuntos!G17/NºAsuntos!E17),NºAsuntos!G17/NºAsuntos!E17," - ")</f>
        <v>1.2452830188679245</v>
      </c>
      <c r="AM17" s="259">
        <f>IF(ISNUMBER(((NºAsuntos!I17/NºAsuntos!G17)*11)/factor_trimestre),((NºAsuntos!I17/NºAsuntos!G17)*11)/factor_trimestre," - ")</f>
        <v>1.1136363636363635</v>
      </c>
      <c r="AN17" s="243">
        <f>IF(ISNUMBER('Resol  Asuntos'!D17/NºAsuntos!G17),'Resol  Asuntos'!D17/NºAsuntos!G17," - ")</f>
        <v>0.13636363636363635</v>
      </c>
      <c r="AO17" s="244">
        <f>IF(ISNUMBER((NºAsuntos!C17+NºAsuntos!E17)/NºAsuntos!G17),(NºAsuntos!C17+NºAsuntos!E17)/NºAsuntos!G17," - ")</f>
        <v>1.3712121212121211</v>
      </c>
      <c r="AP17" s="229" t="str">
        <f t="shared" si="2"/>
        <v xml:space="preserve"> - </v>
      </c>
      <c r="AQ17" s="229" t="str">
        <f t="shared" ref="AQ17" si="9">IF(ISNUMBER((H17-W17+K17)/(F17)),(H17-W17+K17)/(F17)," - ")</f>
        <v xml:space="preserve"> - </v>
      </c>
      <c r="AR17" s="303" t="str">
        <f>IF(ISNUMBER((Datos!P17-Datos!Q17+M17)/(Datos!R17-Datos!P17+Datos!Q17-M17)),(Datos!P17-Datos!Q17+M17)/(Datos!R17-Datos!P17+Datos!Q17-M17)," - ")</f>
        <v xml:space="preserve"> - </v>
      </c>
      <c r="AS17" s="265" t="str">
        <f>IF(ISNUMBER(Datos!CS17),Datos!CS17," - ")</f>
        <v xml:space="preserve"> - </v>
      </c>
      <c r="AT17" s="265" t="str">
        <f>IF(ISNUMBER(Datos!CI17),Datos!CI17," - ")</f>
        <v xml:space="preserve"> - </v>
      </c>
      <c r="AU17" s="265" t="str">
        <f>IF(ISNUMBER(Datos!CJ17),Datos!CJ17," - ")</f>
        <v xml:space="preserve"> - </v>
      </c>
      <c r="AV17" s="265" t="str">
        <f>IF(ISNUMBER(Datos!CW17),Datos!CW17," - ")</f>
        <v xml:space="preserve"> - </v>
      </c>
      <c r="AW17" s="265" t="str">
        <f>IF(ISNUMBER(Datos!EV17),Datos!EV17," - ")</f>
        <v xml:space="preserve"> - </v>
      </c>
      <c r="AX17" s="265">
        <f>IF(ISNUMBER(Datos!CX17)," - ",Datos!CX17)</f>
        <v>0</v>
      </c>
      <c r="AY17" s="265" t="str">
        <f>IF(ISNUMBER(Datos!EO17),Datos!EO17," - ")</f>
        <v xml:space="preserve"> - </v>
      </c>
      <c r="AZ17" s="990" t="e">
        <f>(AY17/Datos!ER17)*factor_trimestre</f>
        <v>#VALUE!</v>
      </c>
      <c r="BF17" s="153">
        <f>Datos!BN17/factor_trimestre</f>
        <v>0</v>
      </c>
      <c r="BG17" s="153">
        <f>Datos!BO17/factor_trimestre</f>
        <v>0</v>
      </c>
      <c r="BH17" s="153">
        <f>Datos!BP17/factor_trimestre</f>
        <v>0</v>
      </c>
      <c r="BI17" s="153">
        <f>Datos!BQ17/factor_trimestre</f>
        <v>0</v>
      </c>
      <c r="BJ17" s="153">
        <f>Datos!BR17/factor_trimestre</f>
        <v>0</v>
      </c>
      <c r="BK17" s="153">
        <f>Datos!BS17/factor_trimestre</f>
        <v>0</v>
      </c>
      <c r="BL17" s="153">
        <f>Datos!BT17/factor_trimestre</f>
        <v>0</v>
      </c>
      <c r="BM17" s="153">
        <f>Datos!BU17/factor_trimestre</f>
        <v>0</v>
      </c>
    </row>
    <row r="18" spans="1:65" ht="15.75" thickTop="1" thickBot="1">
      <c r="A18" s="177"/>
      <c r="B18" s="177"/>
      <c r="C18" s="862" t="str">
        <f>Datos!A18</f>
        <v>TOTAL</v>
      </c>
      <c r="D18" s="862"/>
      <c r="E18" s="1160">
        <f>SUBTOTAL(9,E14:E17)</f>
        <v>6</v>
      </c>
      <c r="F18" s="864">
        <f>SUBTOTAL(9,F14:F17)</f>
        <v>3108</v>
      </c>
      <c r="G18" s="865">
        <f>SUBTOTAL(9,G15:G17)</f>
        <v>3437</v>
      </c>
      <c r="H18" s="864">
        <f t="shared" ref="H18:O18" si="10">SUBTOTAL(9,H14:H17)</f>
        <v>0</v>
      </c>
      <c r="I18" s="866">
        <f t="shared" si="10"/>
        <v>0</v>
      </c>
      <c r="J18" s="866">
        <f t="shared" si="10"/>
        <v>0</v>
      </c>
      <c r="K18" s="866">
        <f t="shared" si="10"/>
        <v>0</v>
      </c>
      <c r="L18" s="866">
        <f t="shared" si="10"/>
        <v>38</v>
      </c>
      <c r="M18" s="866">
        <f t="shared" si="10"/>
        <v>0</v>
      </c>
      <c r="N18" s="866">
        <f t="shared" si="10"/>
        <v>0</v>
      </c>
      <c r="O18" s="867" t="e">
        <f t="shared" ca="1" si="10"/>
        <v>#VALUE!</v>
      </c>
      <c r="P18" s="867"/>
      <c r="Q18" s="868" t="str">
        <f>IF(ISNUMBER((N18*factor_trimestre)/((Datos!BT18+Datos!BU18)/2)),(N18*factor_trimestre)/((Datos!BT18+Datos!BU18)/2)," - ")</f>
        <v xml:space="preserve"> - </v>
      </c>
      <c r="R18" s="869">
        <f>SUBTOTAL(9,R14:R17)</f>
        <v>0</v>
      </c>
      <c r="S18" s="864">
        <f>SUBTOTAL(9,S14:S17)</f>
        <v>0</v>
      </c>
      <c r="T18" s="870">
        <f>IF(ISNUMBER((S18*factor_trimestre)/DatosB!BM18),(S18*factor_trimestre)/DatosB!BM18,"-")</f>
        <v>0</v>
      </c>
      <c r="U18" s="864" t="e">
        <f ca="1">SUBTOTAL(9,U14:U17)</f>
        <v>#VALUE!</v>
      </c>
      <c r="V18" s="870" t="str">
        <f ca="1">IF(ISNUMBER((U18*factor_trimestre)/DatosB!CN18),(U18*factor_trimestre)/DatosB!CN18,"-")</f>
        <v>-</v>
      </c>
      <c r="W18" s="866">
        <f t="shared" ref="W18:AK18" si="11">SUBTOTAL(9,W14:W17)</f>
        <v>1688</v>
      </c>
      <c r="X18" s="866">
        <f t="shared" si="11"/>
        <v>35</v>
      </c>
      <c r="Y18" s="867">
        <f t="shared" si="11"/>
        <v>1723</v>
      </c>
      <c r="Z18" s="867">
        <f t="shared" si="11"/>
        <v>0</v>
      </c>
      <c r="AA18" s="867">
        <f t="shared" si="11"/>
        <v>3396</v>
      </c>
      <c r="AB18" s="867">
        <f t="shared" si="11"/>
        <v>345</v>
      </c>
      <c r="AC18" s="867">
        <f t="shared" si="11"/>
        <v>3741</v>
      </c>
      <c r="AD18" s="867">
        <f t="shared" si="11"/>
        <v>0</v>
      </c>
      <c r="AE18" s="871">
        <f t="shared" si="11"/>
        <v>0</v>
      </c>
      <c r="AF18" s="864">
        <f t="shared" si="11"/>
        <v>0</v>
      </c>
      <c r="AG18" s="872">
        <f t="shared" si="11"/>
        <v>0</v>
      </c>
      <c r="AH18" s="869">
        <f t="shared" si="11"/>
        <v>0</v>
      </c>
      <c r="AI18" s="864">
        <f t="shared" si="11"/>
        <v>277</v>
      </c>
      <c r="AJ18" s="866">
        <f t="shared" si="11"/>
        <v>0</v>
      </c>
      <c r="AK18" s="869">
        <f t="shared" si="11"/>
        <v>0</v>
      </c>
      <c r="AL18" s="873">
        <f>IF(ISNUMBER(NºAsuntos!G18/NºAsuntos!E18),NºAsuntos!G18/NºAsuntos!E18," - ")</f>
        <v>0.88795370857443445</v>
      </c>
      <c r="AM18" s="873">
        <f>IF(ISNUMBER(((NºAsuntos!I18/NºAsuntos!G18)*11)/factor_trimestre),((NºAsuntos!I18/NºAsuntos!G18)*11)/factor_trimestre," - ")</f>
        <v>6.0355450236966819</v>
      </c>
      <c r="AN18" s="874">
        <f>IF(ISNUMBER('Resol  Asuntos'!D18/NºAsuntos!G18),'Resol  Asuntos'!D18/NºAsuntos!G18," - ")</f>
        <v>0.1640995260663507</v>
      </c>
      <c r="AO18" s="875">
        <f>IF(ISNUMBER((NºAsuntos!C18+NºAsuntos!E18)/NºAsuntos!G18),(NºAsuntos!C18+NºAsuntos!E18)/NºAsuntos!G18," - ")</f>
        <v>3.1623222748815167</v>
      </c>
      <c r="AP18" s="876" t="str">
        <f t="shared" si="2"/>
        <v xml:space="preserve"> - </v>
      </c>
      <c r="AQ18" s="876">
        <f>IF(ISNUMBER((H18-W18+K18)/(F18)),(H18-W18+K18)/(F18)," - ")</f>
        <v>-0.5431145431145431</v>
      </c>
      <c r="AR18" s="877">
        <f>IF(ISNUMBER((Datos!P18-Datos!Q18)/(Datos!R18-Datos!P18+Datos!Q18)),(Datos!P18-Datos!Q18)/(Datos!R18-Datos!P18+Datos!Q18)," - ")</f>
        <v>8.771929824561403E-3</v>
      </c>
      <c r="AS18" s="863">
        <f>SUBTOTAL(9,AS14:AS17)</f>
        <v>0</v>
      </c>
      <c r="AT18" s="863">
        <f>SUBTOTAL(9,AT14:AT17)</f>
        <v>0</v>
      </c>
      <c r="AU18" s="863">
        <f>SUBTOTAL(9,AU14:AU17)</f>
        <v>0</v>
      </c>
      <c r="AV18" s="863">
        <f>SUBTOTAL(9,AV14:AV17)</f>
        <v>0</v>
      </c>
      <c r="AW18" s="863">
        <f>SUBTOTAL(9,AW14:AW17)</f>
        <v>0</v>
      </c>
      <c r="AX18" s="878"/>
      <c r="AY18" s="863">
        <f>SUBTOTAL(9,AY14:AY17)</f>
        <v>0</v>
      </c>
      <c r="AZ18" s="992" t="e">
        <f>SUBTOTAL(9,AZ14:AZ17)</f>
        <v>#VALUE!</v>
      </c>
      <c r="BF18" s="150">
        <f t="shared" ref="BF18:BM18" si="12">SUM(BF14:BF17)</f>
        <v>0</v>
      </c>
      <c r="BG18" s="150">
        <f t="shared" si="12"/>
        <v>0</v>
      </c>
      <c r="BH18" s="150">
        <f t="shared" si="12"/>
        <v>0</v>
      </c>
      <c r="BI18" s="150">
        <f t="shared" si="12"/>
        <v>0</v>
      </c>
      <c r="BJ18" s="150">
        <f t="shared" si="12"/>
        <v>0</v>
      </c>
      <c r="BK18" s="150">
        <f t="shared" si="12"/>
        <v>0</v>
      </c>
      <c r="BL18" s="150">
        <f t="shared" si="12"/>
        <v>0</v>
      </c>
      <c r="BM18" s="150">
        <f t="shared" si="12"/>
        <v>0</v>
      </c>
    </row>
    <row r="19" spans="1:65" ht="18.75" customHeight="1" thickTop="1" thickBot="1">
      <c r="A19" s="171"/>
      <c r="B19" s="171"/>
      <c r="C19" s="817" t="str">
        <f>Datos!A19</f>
        <v>TOTAL JURISDICCIONES</v>
      </c>
      <c r="D19" s="818"/>
      <c r="E19" s="1161">
        <f t="shared" ref="E19:O19" si="13">SUBTOTAL(9,E9:E18)</f>
        <v>12</v>
      </c>
      <c r="F19" s="819">
        <f t="shared" si="13"/>
        <v>3206</v>
      </c>
      <c r="G19" s="820">
        <f t="shared" si="13"/>
        <v>3535</v>
      </c>
      <c r="H19" s="819">
        <f t="shared" si="13"/>
        <v>0</v>
      </c>
      <c r="I19" s="821">
        <f t="shared" si="13"/>
        <v>0</v>
      </c>
      <c r="J19" s="821">
        <f t="shared" si="13"/>
        <v>0</v>
      </c>
      <c r="K19" s="880">
        <f t="shared" si="13"/>
        <v>0</v>
      </c>
      <c r="L19" s="821">
        <f t="shared" si="13"/>
        <v>686</v>
      </c>
      <c r="M19" s="821">
        <f t="shared" si="13"/>
        <v>0</v>
      </c>
      <c r="N19" s="821">
        <f t="shared" si="13"/>
        <v>0</v>
      </c>
      <c r="O19" s="821" t="e">
        <f t="shared" ca="1" si="13"/>
        <v>#VALUE!</v>
      </c>
      <c r="P19" s="880" t="str">
        <f>IF(ISNUMBER((N19*factor_trimestre)/((Datos!BT19+Datos!BU19)/2)),(N19*factor_trimestre)/((Datos!BT19+Datos!BU19)/2)," - ")</f>
        <v xml:space="preserve"> - </v>
      </c>
      <c r="Q19" s="881" t="str">
        <f>IF(ISNUMBER((N19*factor_trimestre)/((Datos!BT19+Datos!BU19)/2)),(N19*factor_trimestre)/((Datos!BT19+Datos!BU19)/2)," - ")</f>
        <v xml:space="preserve"> - </v>
      </c>
      <c r="R19" s="821">
        <f>SUBTOTAL(9,R9:R18)</f>
        <v>0</v>
      </c>
      <c r="S19" s="819">
        <f>SUBTOTAL(9,S9:S18)</f>
        <v>0</v>
      </c>
      <c r="T19" s="825" t="str">
        <f>IF(ISNUMBER((S19*factor_trimestre)/DatosB!CN19),(S19*factor_trimestre)/DatosB!CN19,"-")</f>
        <v>-</v>
      </c>
      <c r="U19" s="829" t="e">
        <f ca="1">SUBTOTAL(9,U9:U18)</f>
        <v>#VALUE!</v>
      </c>
      <c r="V19" s="882" t="str">
        <f ca="1">IF(ISNUMBER((U19*factor_trimestre)/DatosB!CN19),(U19*factor_trimestre)/DatosB!CN19,"-")</f>
        <v>-</v>
      </c>
      <c r="W19" s="820">
        <f t="shared" ref="W19:AK19" si="14">SUBTOTAL(9,W9:W18)</f>
        <v>1700</v>
      </c>
      <c r="X19" s="820">
        <f t="shared" si="14"/>
        <v>268</v>
      </c>
      <c r="Y19" s="827">
        <f t="shared" si="14"/>
        <v>1968</v>
      </c>
      <c r="Z19" s="827">
        <f t="shared" si="14"/>
        <v>0</v>
      </c>
      <c r="AA19" s="827">
        <f t="shared" si="14"/>
        <v>3493</v>
      </c>
      <c r="AB19" s="827">
        <f t="shared" si="14"/>
        <v>9468</v>
      </c>
      <c r="AC19" s="827">
        <f t="shared" si="14"/>
        <v>3905</v>
      </c>
      <c r="AD19" s="827">
        <f t="shared" si="14"/>
        <v>0</v>
      </c>
      <c r="AE19" s="829">
        <f t="shared" si="14"/>
        <v>0</v>
      </c>
      <c r="AF19" s="830">
        <f t="shared" si="14"/>
        <v>0</v>
      </c>
      <c r="AG19" s="831">
        <f t="shared" si="14"/>
        <v>0</v>
      </c>
      <c r="AH19" s="829">
        <f t="shared" si="14"/>
        <v>0</v>
      </c>
      <c r="AI19" s="819">
        <f t="shared" si="14"/>
        <v>727</v>
      </c>
      <c r="AJ19" s="819">
        <f t="shared" si="14"/>
        <v>0</v>
      </c>
      <c r="AK19" s="829">
        <f t="shared" si="14"/>
        <v>0</v>
      </c>
      <c r="AL19" s="883">
        <f>IF(ISNUMBER(NºAsuntos!G19/NºAsuntos!E19),NºAsuntos!G19/NºAsuntos!E19," - ")</f>
        <v>1.2065063649222065</v>
      </c>
      <c r="AM19" s="884">
        <f>IF(ISNUMBER(((NºAsuntos!I19/NºAsuntos!G19)*11)/factor_trimestre),((NºAsuntos!I19/NºAsuntos!G19)*11)/factor_trimestre," - ")</f>
        <v>6.7273153575615474</v>
      </c>
      <c r="AN19" s="884">
        <f>IF(ISNUMBER('Resol  Asuntos'!D19/NºAsuntos!G19),'Resol  Asuntos'!D19/NºAsuntos!G19," - ")</f>
        <v>0.17045720984759671</v>
      </c>
      <c r="AO19" s="885">
        <f>IF(ISNUMBER((NºAsuntos!C19+NºAsuntos!E19)/NºAsuntos!G19),(NºAsuntos!C19+NºAsuntos!E19)/NºAsuntos!G19," - ")</f>
        <v>3.3019929660023446</v>
      </c>
      <c r="AP19" s="886" t="str">
        <f t="shared" si="2"/>
        <v xml:space="preserve"> - </v>
      </c>
      <c r="AQ19" s="887">
        <f>IF(OR(ISNUMBER(FIND("01",Criterios!A8,1)),ISNUMBER(FIND("02",Criterios!A8,1)),ISNUMBER(FIND("03",Criterios!A8,1)),ISNUMBER(FIND("04",Criterios!A8,1))),(I19-W19+K19)/(F19-K19),(H19-W19+K19)/(F19-K19))</f>
        <v>-0.53025577043044292</v>
      </c>
      <c r="AR19" s="888">
        <f>IF(ISNUMBER((Datos!P19-Datos!Q19)/(Datos!R19-Datos!P19+Datos!Q19)),(Datos!P19-Datos!Q19)/(Datos!R19-Datos!P19+Datos!Q19)," - ")</f>
        <v>4.6187845303867402E-2</v>
      </c>
      <c r="AS19" s="834">
        <f>SUBTOTAL(9,AS9:AS18)</f>
        <v>0</v>
      </c>
      <c r="AT19" s="879">
        <f>SUBTOTAL(9,AT9:AT18)</f>
        <v>0</v>
      </c>
      <c r="AU19" s="879">
        <f>SUBTOTAL(9,AU9:AU18)</f>
        <v>0</v>
      </c>
      <c r="AV19" s="879">
        <f>SUBTOTAL(9,AV9:AV18)</f>
        <v>0</v>
      </c>
      <c r="AW19" s="879">
        <f>SUBTOTAL(9,AW9:AW18)</f>
        <v>0</v>
      </c>
      <c r="AX19" s="835"/>
      <c r="AY19" s="879">
        <f>SUBTOTAL(9,AY9:AY18)</f>
        <v>0</v>
      </c>
      <c r="AZ19" s="993" t="e">
        <f>SUBTOTAL(9,AZ9:AZ18)</f>
        <v>#VALUE!</v>
      </c>
      <c r="BF19" s="152">
        <f t="shared" ref="BF19:BM19" si="15">SUM(BF9:BF18)</f>
        <v>0</v>
      </c>
      <c r="BG19" s="152">
        <f t="shared" si="15"/>
        <v>0</v>
      </c>
      <c r="BH19" s="152">
        <f t="shared" si="15"/>
        <v>0</v>
      </c>
      <c r="BI19" s="152">
        <f t="shared" si="15"/>
        <v>0</v>
      </c>
      <c r="BJ19" s="152">
        <f t="shared" si="15"/>
        <v>0</v>
      </c>
      <c r="BK19" s="152">
        <f t="shared" si="15"/>
        <v>0</v>
      </c>
      <c r="BL19" s="152">
        <f t="shared" si="15"/>
        <v>0</v>
      </c>
      <c r="BM19" s="152">
        <f t="shared" si="15"/>
        <v>0</v>
      </c>
    </row>
    <row r="20" spans="1:65" ht="18.75" customHeight="1" thickTop="1" thickBot="1">
      <c r="A20" s="166"/>
      <c r="B20" s="166"/>
      <c r="C20" s="837" t="s">
        <v>264</v>
      </c>
      <c r="D20" s="838"/>
      <c r="E20" s="1162">
        <f ca="1">IF(ISNUMBER(SUMIF($B8:$B18,$B20,E8:E18)/INDIRECT("Datos!AP"&amp;ROW()-1)),SUMIF($B8:$B18,$B20,E8:E18)/INDIRECT("Datos!AP"&amp;ROW()-1),"-")</f>
        <v>0</v>
      </c>
      <c r="F20" s="812">
        <f ca="1">IF(ISNUMBER(SUMIF($B8:$B18,$B20,F8:F18)/INDIRECT("Datos!AP"&amp;ROW()-1)),SUMIF($B8:$B18,$B20,F8:F18)/INDIRECT("Datos!AP"&amp;ROW()-1),"-")</f>
        <v>0</v>
      </c>
      <c r="G20" s="813">
        <f>IF(ISNUMBER(AVERAGE(G8:G18)),AVERAGE(G8:G18),"-")</f>
        <v>1414</v>
      </c>
      <c r="H20" s="812">
        <f t="shared" ref="H20:AO20" ca="1" si="16">IF(ISNUMBER(SUMIF($B8:$B18,$B20,H8:H18)/INDIRECT("Datos!AP"&amp;ROW()-1)),SUMIF($B8:$B18,$B20,H8:H18)/INDIRECT("Datos!AP"&amp;ROW()-1),"-")</f>
        <v>0</v>
      </c>
      <c r="I20" s="814">
        <f t="shared" ca="1" si="16"/>
        <v>0</v>
      </c>
      <c r="J20" s="814">
        <f t="shared" ca="1" si="16"/>
        <v>0</v>
      </c>
      <c r="K20" s="814">
        <f t="shared" ca="1" si="16"/>
        <v>0</v>
      </c>
      <c r="L20" s="814">
        <f t="shared" ca="1" si="16"/>
        <v>0</v>
      </c>
      <c r="M20" s="814">
        <f t="shared" ca="1" si="16"/>
        <v>0</v>
      </c>
      <c r="N20" s="814">
        <f t="shared" ca="1" si="16"/>
        <v>0</v>
      </c>
      <c r="O20" s="814">
        <f t="shared" ca="1" si="16"/>
        <v>0</v>
      </c>
      <c r="P20" s="823">
        <f t="shared" ca="1" si="16"/>
        <v>0</v>
      </c>
      <c r="Q20" s="823">
        <f t="shared" ca="1" si="16"/>
        <v>0</v>
      </c>
      <c r="R20" s="814">
        <f t="shared" ca="1" si="16"/>
        <v>0</v>
      </c>
      <c r="S20" s="812">
        <f t="shared" ca="1" si="16"/>
        <v>0</v>
      </c>
      <c r="T20" s="890">
        <f t="shared" ca="1" si="16"/>
        <v>0</v>
      </c>
      <c r="U20" s="814">
        <f t="shared" ca="1" si="16"/>
        <v>0</v>
      </c>
      <c r="V20" s="890">
        <f t="shared" ca="1" si="16"/>
        <v>0</v>
      </c>
      <c r="W20" s="813">
        <f t="shared" ca="1" si="16"/>
        <v>0</v>
      </c>
      <c r="X20" s="813">
        <f t="shared" ca="1" si="16"/>
        <v>0</v>
      </c>
      <c r="Y20" s="891">
        <f t="shared" ca="1" si="16"/>
        <v>0</v>
      </c>
      <c r="Z20" s="891">
        <f t="shared" ca="1" si="16"/>
        <v>0</v>
      </c>
      <c r="AA20" s="891">
        <f t="shared" ca="1" si="16"/>
        <v>0</v>
      </c>
      <c r="AB20" s="891">
        <f t="shared" ca="1" si="16"/>
        <v>0</v>
      </c>
      <c r="AC20" s="891">
        <f t="shared" ca="1" si="16"/>
        <v>0</v>
      </c>
      <c r="AD20" s="891">
        <f t="shared" ca="1" si="16"/>
        <v>0</v>
      </c>
      <c r="AE20" s="814">
        <f t="shared" ca="1" si="16"/>
        <v>0</v>
      </c>
      <c r="AF20" s="842">
        <f t="shared" ca="1" si="16"/>
        <v>0</v>
      </c>
      <c r="AG20" s="841">
        <f t="shared" ca="1" si="16"/>
        <v>0</v>
      </c>
      <c r="AH20" s="814">
        <f t="shared" ca="1" si="16"/>
        <v>0</v>
      </c>
      <c r="AI20" s="812">
        <f t="shared" ca="1" si="16"/>
        <v>0</v>
      </c>
      <c r="AJ20" s="812">
        <f t="shared" ca="1" si="16"/>
        <v>0</v>
      </c>
      <c r="AK20" s="814">
        <f t="shared" ca="1" si="16"/>
        <v>0</v>
      </c>
      <c r="AL20" s="812">
        <f t="shared" ca="1" si="16"/>
        <v>0</v>
      </c>
      <c r="AM20" s="813">
        <f t="shared" ca="1" si="16"/>
        <v>0</v>
      </c>
      <c r="AN20" s="813">
        <f t="shared" ca="1" si="16"/>
        <v>0</v>
      </c>
      <c r="AO20" s="814">
        <f t="shared" ca="1" si="16"/>
        <v>0</v>
      </c>
      <c r="AP20" s="892" t="str">
        <f t="shared" ca="1" si="2"/>
        <v xml:space="preserve"> - </v>
      </c>
      <c r="AQ20" s="887" t="e">
        <f ca="1">IF(OR(ISNUMBER(FIND("01",Criterios!A8,1)),ISNUMBER(FIND("02",Criterios!A8,1)),ISNUMBER(FIND("03",Criterios!A8,1)),ISNUMBER(FIND("04",Criterios!A8,1))),(I20-W20+K20)/(F20-K20),(H20-W20+K20)/(F20-K20))</f>
        <v>#DIV/0!</v>
      </c>
      <c r="AR20" s="893">
        <f t="shared" ref="AR20:AW20" ca="1" si="17">IF(ISNUMBER(SUMIF($B8:$B18,$B20,AR8:AR18)/INDIRECT("Datos!AP"&amp;ROW()-1)),SUMIF($B8:$B18,$B20,AR8:AR18)/INDIRECT("Datos!AP"&amp;ROW()-1),"-")</f>
        <v>0</v>
      </c>
      <c r="AS20" s="894">
        <f t="shared" ca="1" si="17"/>
        <v>0</v>
      </c>
      <c r="AT20" s="889">
        <f t="shared" ca="1" si="17"/>
        <v>0</v>
      </c>
      <c r="AU20" s="889">
        <f t="shared" ca="1" si="17"/>
        <v>0</v>
      </c>
      <c r="AV20" s="889">
        <f t="shared" ca="1" si="17"/>
        <v>0</v>
      </c>
      <c r="AW20" s="889">
        <f t="shared" ca="1" si="17"/>
        <v>0</v>
      </c>
      <c r="AX20" s="895"/>
      <c r="AY20" s="814">
        <f ca="1">IF(ISNUMBER(SUMIF($B8:$B18,$B20,AY8:AY18)/INDIRECT("Datos!AP"&amp;ROW()-1)),SUMIF($B8:$B18,$B20,AY8:AY18)/INDIRECT("Datos!AP"&amp;ROW()-1),"-")</f>
        <v>0</v>
      </c>
      <c r="AZ20" s="994">
        <f ca="1">IF(ISNUMBER(SUMIF($B8:$B18,$B20,AZ8:AZ18)/INDIRECT("Datos!AP"&amp;ROW()-1)),SUMIF($B8:$B18,$B20,AZ8:AZ18)/INDIRECT("Datos!AP"&amp;ROW()-1),"-")</f>
        <v>0</v>
      </c>
    </row>
    <row r="21" spans="1:65" ht="18.75" hidden="1" customHeight="1" thickTop="1" thickBot="1">
      <c r="A21" s="167"/>
      <c r="B21" s="167"/>
      <c r="C21" s="167" t="s">
        <v>265</v>
      </c>
      <c r="D21" s="340"/>
      <c r="E21" s="282">
        <f>IF(ISNUMBER(STDEV(E8:E18)),STDEV(E8:E18),"-")</f>
        <v>3.1622776601683795</v>
      </c>
      <c r="F21" s="251">
        <f>IF(ISNUMBER(STDEV(F8:F18)),STDEV(F8:F18),"-")</f>
        <v>1737.8243102607737</v>
      </c>
      <c r="G21" s="252">
        <f>IF(ISNUMBER(STDEV(G8:G18)),STDEV(G8:G18),"-")</f>
        <v>1812.7235034610214</v>
      </c>
      <c r="H21" s="251">
        <f>IF(ISNUMBER(STDEV(H8:H18)),STDEV(H8:H18),"-")</f>
        <v>0</v>
      </c>
      <c r="I21" s="253">
        <f>IF(ISNUMBER(STDEV(I8:I18)),STDEV(I8:I18),"-")</f>
        <v>0</v>
      </c>
      <c r="J21" s="252"/>
      <c r="K21" s="252"/>
      <c r="L21" s="252"/>
      <c r="M21" s="252"/>
      <c r="N21" s="252"/>
      <c r="O21" s="252"/>
      <c r="P21" s="252"/>
      <c r="Q21" s="252"/>
      <c r="R21" s="252"/>
      <c r="S21" s="251">
        <f>IF(ISNUMBER(STDEV(S8:S18)),STDEV(S8:S18),"-")</f>
        <v>0</v>
      </c>
      <c r="T21" s="312">
        <f>IF(ISNUMBER(STDEV(T8:T18)),STDEV(T8:T18),"-")</f>
        <v>0</v>
      </c>
      <c r="U21" s="253" t="str">
        <f ca="1">IF(ISNUMBER(STDEV(U8:U18)),STDEV(U8:U18),"-")</f>
        <v>-</v>
      </c>
      <c r="V21" s="281"/>
      <c r="W21" s="252">
        <f>IF(ISNUMBER(STDEV(W8:W18)),STDEV(W8:W18),"-")</f>
        <v>862.58216999889351</v>
      </c>
      <c r="X21" s="281"/>
      <c r="Y21" s="281"/>
      <c r="Z21" s="281"/>
      <c r="AA21" s="281"/>
      <c r="AB21" s="281"/>
      <c r="AC21" s="281"/>
      <c r="AD21" s="281"/>
      <c r="AE21" s="253">
        <f>IF(ISNUMBER(STDEV(AE8:AE18)),STDEV(AE8:AE18),"-")</f>
        <v>0</v>
      </c>
      <c r="AF21" s="254">
        <f>IF(ISNUMBER(STDEV(AF8:AF18)),STDEV(AF8:AF18),"-")</f>
        <v>0</v>
      </c>
      <c r="AG21" s="281">
        <f>IF(ISNUMBER(STDEV(AG8:AG18)),STDEV(AG8:AG18),"-")</f>
        <v>0</v>
      </c>
      <c r="AH21" s="296"/>
      <c r="AI21" s="251">
        <f t="shared" ref="AI21:AQ21" si="18">IF(ISNUMBER(STDEV(AI8:AI18)),STDEV(AI8:AI18),"-")</f>
        <v>194.7867209710833</v>
      </c>
      <c r="AJ21" s="251">
        <f t="shared" si="18"/>
        <v>0</v>
      </c>
      <c r="AK21" s="253">
        <f t="shared" si="18"/>
        <v>0</v>
      </c>
      <c r="AL21" s="248">
        <f t="shared" si="18"/>
        <v>0.31901144966933714</v>
      </c>
      <c r="AM21" s="249">
        <f t="shared" si="18"/>
        <v>7.9544931209534315</v>
      </c>
      <c r="AN21" s="249">
        <f t="shared" si="18"/>
        <v>0.20617290050919101</v>
      </c>
      <c r="AO21" s="250">
        <f t="shared" si="18"/>
        <v>2.6334616819741177</v>
      </c>
      <c r="AP21" s="290" t="str">
        <f t="shared" si="18"/>
        <v>-</v>
      </c>
      <c r="AQ21" s="291">
        <f t="shared" si="18"/>
        <v>0.29745547257856603</v>
      </c>
      <c r="AR21" s="305"/>
      <c r="AS21" s="309">
        <f t="shared" ref="AS21:AX21" si="19">IF(ISNUMBER(STDEV(AS8:AS18)),STDEV(AS8:AS18),"-")</f>
        <v>0</v>
      </c>
      <c r="AT21" s="282">
        <f t="shared" si="19"/>
        <v>0</v>
      </c>
      <c r="AU21" s="282">
        <f t="shared" si="19"/>
        <v>0</v>
      </c>
      <c r="AV21" s="282">
        <f t="shared" si="19"/>
        <v>0</v>
      </c>
      <c r="AW21" s="282">
        <f t="shared" si="19"/>
        <v>0</v>
      </c>
      <c r="AX21" s="300">
        <f t="shared" si="19"/>
        <v>0</v>
      </c>
      <c r="AY21" s="300"/>
      <c r="AZ21" s="995"/>
    </row>
    <row r="22" spans="1:65" ht="12" customHeight="1" thickTop="1">
      <c r="C22" s="73"/>
      <c r="D22" s="73"/>
      <c r="T22" s="313"/>
      <c r="AQ22" t="s">
        <v>424</v>
      </c>
      <c r="AR22" s="306"/>
      <c r="AS22" s="310"/>
      <c r="AX22" s="95"/>
      <c r="AY22" s="95"/>
      <c r="AZ22" s="622"/>
    </row>
    <row r="23" spans="1:65">
      <c r="C23" s="159"/>
      <c r="D23" s="341"/>
      <c r="E23" s="140"/>
      <c r="F23" s="142"/>
      <c r="G23" s="144"/>
      <c r="H23" s="143"/>
      <c r="I23" s="143"/>
      <c r="J23" s="140"/>
      <c r="K23" s="140"/>
      <c r="L23" s="140"/>
      <c r="M23" s="140"/>
      <c r="N23" s="140"/>
      <c r="O23" s="140"/>
      <c r="P23" s="140"/>
      <c r="Q23" s="140"/>
      <c r="R23" s="140"/>
      <c r="S23" s="140"/>
      <c r="T23" s="314"/>
      <c r="U23" s="140"/>
      <c r="V23" s="140"/>
      <c r="W23" s="143"/>
      <c r="X23" s="256"/>
      <c r="Y23" s="256"/>
      <c r="Z23" s="256"/>
      <c r="AA23" s="256"/>
      <c r="AB23" s="256"/>
      <c r="AC23" s="256"/>
      <c r="AD23" s="256"/>
      <c r="AE23" s="143"/>
      <c r="AF23" s="143"/>
      <c r="AG23" s="143"/>
      <c r="AH23" s="143"/>
      <c r="AI23" s="143"/>
      <c r="AJ23" s="143"/>
      <c r="AK23" s="143"/>
      <c r="AL23" s="143"/>
      <c r="AM23" s="140"/>
      <c r="AN23" s="140"/>
      <c r="AO23" s="140"/>
      <c r="AP23" s="164"/>
      <c r="AQ23" s="164"/>
      <c r="AR23" s="307"/>
      <c r="AS23" s="311"/>
      <c r="AT23" s="140"/>
      <c r="AU23" s="140"/>
      <c r="AV23" s="140"/>
      <c r="AW23" s="140"/>
      <c r="AX23" s="301"/>
      <c r="AY23" s="301"/>
      <c r="AZ23" s="294"/>
    </row>
    <row r="24" spans="1:65">
      <c r="C24" s="7"/>
      <c r="D24" s="342"/>
      <c r="E24" s="140"/>
      <c r="F24" s="142"/>
      <c r="G24" s="144"/>
      <c r="H24" s="143"/>
      <c r="I24" s="143"/>
      <c r="J24" s="140"/>
      <c r="K24" s="140"/>
      <c r="L24" s="140"/>
      <c r="M24" s="140"/>
      <c r="N24" s="140"/>
      <c r="O24" s="140"/>
      <c r="P24" s="140"/>
      <c r="Q24" s="140"/>
      <c r="R24" s="140"/>
      <c r="S24" s="140"/>
      <c r="T24" s="314"/>
      <c r="U24" s="140"/>
      <c r="V24" s="140"/>
      <c r="W24" s="143"/>
      <c r="X24" s="256"/>
      <c r="Y24" s="256"/>
      <c r="Z24" s="256"/>
      <c r="AA24" s="256"/>
      <c r="AB24" s="256"/>
      <c r="AC24" s="256"/>
      <c r="AD24" s="256"/>
      <c r="AE24" s="143"/>
      <c r="AF24" s="143"/>
      <c r="AG24" s="143"/>
      <c r="AH24" s="143"/>
      <c r="AI24" s="143"/>
      <c r="AJ24" s="143"/>
      <c r="AK24" s="143"/>
      <c r="AL24" s="143"/>
      <c r="AM24" s="140"/>
      <c r="AN24" s="140"/>
      <c r="AO24" s="140"/>
      <c r="AP24" s="164"/>
      <c r="AQ24" s="164"/>
      <c r="AR24" s="307"/>
      <c r="AS24" s="311"/>
      <c r="AT24" s="140"/>
      <c r="AU24" s="140"/>
      <c r="AV24" s="140"/>
      <c r="AW24" s="140"/>
      <c r="AX24" s="301"/>
      <c r="AY24" s="301"/>
      <c r="AZ24" s="294"/>
    </row>
    <row r="25" spans="1:65" ht="12.75" hidden="1" customHeight="1">
      <c r="C25" s="293" t="s">
        <v>262</v>
      </c>
      <c r="D25" s="342"/>
      <c r="E25" s="144">
        <f>E23+2*E24</f>
        <v>0</v>
      </c>
      <c r="F25" s="144">
        <f>F23+2*F24</f>
        <v>0</v>
      </c>
      <c r="G25" s="142">
        <f>G23+2*G24</f>
        <v>0</v>
      </c>
      <c r="H25" s="141">
        <f>H23+2*H24</f>
        <v>0</v>
      </c>
      <c r="I25" s="141">
        <f>I23+2*I24</f>
        <v>0</v>
      </c>
      <c r="J25" s="141">
        <f t="shared" ref="J25:U25" si="20">J23+2*J24</f>
        <v>0</v>
      </c>
      <c r="K25" s="141">
        <f>K23+2*K24</f>
        <v>0</v>
      </c>
      <c r="L25" s="141">
        <f t="shared" si="20"/>
        <v>0</v>
      </c>
      <c r="M25" s="141">
        <f t="shared" si="20"/>
        <v>0</v>
      </c>
      <c r="N25" s="141">
        <f t="shared" si="20"/>
        <v>0</v>
      </c>
      <c r="O25" s="141">
        <f>O23+2*O24</f>
        <v>0</v>
      </c>
      <c r="P25" s="141"/>
      <c r="Q25" s="315">
        <f t="shared" si="20"/>
        <v>0</v>
      </c>
      <c r="R25" s="141">
        <f t="shared" si="20"/>
        <v>0</v>
      </c>
      <c r="S25" s="142">
        <f t="shared" si="20"/>
        <v>0</v>
      </c>
      <c r="T25" s="330">
        <f t="shared" si="20"/>
        <v>0</v>
      </c>
      <c r="U25" s="142">
        <f t="shared" si="20"/>
        <v>0</v>
      </c>
      <c r="V25" s="142"/>
      <c r="W25" s="142">
        <f t="shared" ref="W25:AH25" si="21">W23+2*W24</f>
        <v>0</v>
      </c>
      <c r="X25" s="142">
        <f t="shared" si="21"/>
        <v>0</v>
      </c>
      <c r="Y25" s="142">
        <f t="shared" si="21"/>
        <v>0</v>
      </c>
      <c r="Z25" s="142">
        <f t="shared" si="21"/>
        <v>0</v>
      </c>
      <c r="AA25" s="142">
        <f t="shared" si="21"/>
        <v>0</v>
      </c>
      <c r="AB25" s="142">
        <f t="shared" si="21"/>
        <v>0</v>
      </c>
      <c r="AC25" s="142">
        <f t="shared" si="21"/>
        <v>0</v>
      </c>
      <c r="AD25" s="142">
        <f t="shared" si="21"/>
        <v>0</v>
      </c>
      <c r="AE25" s="142">
        <f t="shared" si="21"/>
        <v>0</v>
      </c>
      <c r="AF25" s="142">
        <f t="shared" si="21"/>
        <v>0</v>
      </c>
      <c r="AG25" s="142">
        <f t="shared" si="21"/>
        <v>0</v>
      </c>
      <c r="AH25" s="142">
        <f t="shared" si="21"/>
        <v>0</v>
      </c>
      <c r="AI25" s="142">
        <f t="shared" ref="AI25:AS25" si="22">AI23+2*AI24</f>
        <v>0</v>
      </c>
      <c r="AJ25" s="142">
        <f t="shared" si="22"/>
        <v>0</v>
      </c>
      <c r="AK25" s="142">
        <f t="shared" si="22"/>
        <v>0</v>
      </c>
      <c r="AL25" s="255">
        <f t="shared" si="22"/>
        <v>0</v>
      </c>
      <c r="AM25" s="255">
        <f t="shared" si="22"/>
        <v>0</v>
      </c>
      <c r="AN25" s="255">
        <f t="shared" si="22"/>
        <v>0</v>
      </c>
      <c r="AO25" s="255">
        <f t="shared" si="22"/>
        <v>0</v>
      </c>
      <c r="AP25" s="142">
        <f t="shared" si="22"/>
        <v>0</v>
      </c>
      <c r="AQ25" s="142">
        <f t="shared" si="22"/>
        <v>0</v>
      </c>
      <c r="AR25" s="142">
        <f t="shared" si="22"/>
        <v>0</v>
      </c>
      <c r="AS25" s="142">
        <f t="shared" si="22"/>
        <v>0</v>
      </c>
      <c r="AT25" s="142">
        <f>AT23+2*AT24</f>
        <v>0</v>
      </c>
      <c r="AU25" s="142">
        <f>AU23+2*AU24</f>
        <v>0</v>
      </c>
      <c r="AV25" s="142">
        <f>AV23+2*AV24</f>
        <v>0</v>
      </c>
      <c r="AW25" s="142">
        <f>AW23+2*AW24</f>
        <v>0</v>
      </c>
      <c r="AX25" s="142">
        <f>AX23+2*AX24</f>
        <v>0</v>
      </c>
    </row>
    <row r="26" spans="1:65" ht="12.75" hidden="1" customHeight="1">
      <c r="C26" s="293" t="s">
        <v>263</v>
      </c>
      <c r="D26" s="342"/>
      <c r="E26" s="144">
        <f>MIN(0,E23-2*E24)</f>
        <v>0</v>
      </c>
      <c r="F26" s="144">
        <f>MIN(0,F23-2*F24)</f>
        <v>0</v>
      </c>
      <c r="G26" s="142">
        <f>MIN(0,G23-2*G24)</f>
        <v>0</v>
      </c>
      <c r="H26" s="142">
        <f>MIN(0,H23-2*H24)</f>
        <v>0</v>
      </c>
      <c r="I26" s="142">
        <f>MIN(0,I23-2*I24)</f>
        <v>0</v>
      </c>
      <c r="J26" s="142">
        <f t="shared" ref="J26:U26" si="23">MIN(0,J23-2*J24)</f>
        <v>0</v>
      </c>
      <c r="K26" s="142">
        <f>MIN(0,K23-2*K24)</f>
        <v>0</v>
      </c>
      <c r="L26" s="142">
        <f t="shared" si="23"/>
        <v>0</v>
      </c>
      <c r="M26" s="142">
        <f t="shared" si="23"/>
        <v>0</v>
      </c>
      <c r="N26" s="142">
        <f t="shared" si="23"/>
        <v>0</v>
      </c>
      <c r="O26" s="142">
        <f>MIN(0,O23-2*O24)</f>
        <v>0</v>
      </c>
      <c r="P26" s="142"/>
      <c r="Q26" s="157">
        <f t="shared" si="23"/>
        <v>0</v>
      </c>
      <c r="R26" s="142">
        <f t="shared" si="23"/>
        <v>0</v>
      </c>
      <c r="S26" s="142">
        <f t="shared" si="23"/>
        <v>0</v>
      </c>
      <c r="T26" s="330">
        <f t="shared" si="23"/>
        <v>0</v>
      </c>
      <c r="U26" s="142">
        <f t="shared" si="23"/>
        <v>0</v>
      </c>
      <c r="V26" s="142"/>
      <c r="W26" s="142">
        <f t="shared" ref="W26:AG26" si="24">MIN(0,W23-2*W24)</f>
        <v>0</v>
      </c>
      <c r="X26" s="142">
        <f t="shared" si="24"/>
        <v>0</v>
      </c>
      <c r="Y26" s="142">
        <f t="shared" si="24"/>
        <v>0</v>
      </c>
      <c r="Z26" s="142">
        <f t="shared" si="24"/>
        <v>0</v>
      </c>
      <c r="AA26" s="142">
        <f t="shared" si="24"/>
        <v>0</v>
      </c>
      <c r="AB26" s="142">
        <f t="shared" si="24"/>
        <v>0</v>
      </c>
      <c r="AC26" s="142">
        <f t="shared" si="24"/>
        <v>0</v>
      </c>
      <c r="AD26" s="142">
        <f t="shared" si="24"/>
        <v>0</v>
      </c>
      <c r="AE26" s="142">
        <f t="shared" si="24"/>
        <v>0</v>
      </c>
      <c r="AF26" s="142">
        <f t="shared" si="24"/>
        <v>0</v>
      </c>
      <c r="AG26" s="142">
        <f t="shared" si="24"/>
        <v>0</v>
      </c>
      <c r="AH26" s="142">
        <f>MIN(0,AH23-2*AH24)</f>
        <v>0</v>
      </c>
      <c r="AI26" s="142">
        <f t="shared" ref="AI26:AS26" si="25">MIN(0,AI23-2*AI24)</f>
        <v>0</v>
      </c>
      <c r="AJ26" s="142">
        <f t="shared" si="25"/>
        <v>0</v>
      </c>
      <c r="AK26" s="142">
        <f t="shared" si="25"/>
        <v>0</v>
      </c>
      <c r="AL26" s="255">
        <f t="shared" si="25"/>
        <v>0</v>
      </c>
      <c r="AM26" s="255">
        <f t="shared" si="25"/>
        <v>0</v>
      </c>
      <c r="AN26" s="255">
        <f t="shared" si="25"/>
        <v>0</v>
      </c>
      <c r="AO26" s="255">
        <f t="shared" si="25"/>
        <v>0</v>
      </c>
      <c r="AP26" s="142">
        <f t="shared" si="25"/>
        <v>0</v>
      </c>
      <c r="AQ26" s="142">
        <f t="shared" si="25"/>
        <v>0</v>
      </c>
      <c r="AR26" s="142">
        <f t="shared" si="25"/>
        <v>0</v>
      </c>
      <c r="AS26" s="142">
        <f t="shared" si="25"/>
        <v>0</v>
      </c>
      <c r="AT26" s="142">
        <f>MIN(0,AT23-2*AT24)</f>
        <v>0</v>
      </c>
      <c r="AU26" s="142">
        <f>MIN(0,AU23-2*AU24)</f>
        <v>0</v>
      </c>
      <c r="AV26" s="142">
        <f>MIN(0,AV23-2*AV24)</f>
        <v>0</v>
      </c>
      <c r="AW26" s="142">
        <f>MIN(0,AW23-2*AW24)</f>
        <v>0</v>
      </c>
      <c r="AX26" s="142">
        <f>MIN(0,AX23-2*AX24)</f>
        <v>0</v>
      </c>
    </row>
    <row r="27" spans="1:65">
      <c r="C27" s="71"/>
      <c r="D27" s="71"/>
    </row>
    <row r="30" spans="1:65">
      <c r="C30" s="120" t="str">
        <f>Criterios!A4</f>
        <v>Fecha Informe: 17 mar. 2026</v>
      </c>
      <c r="D30" s="120"/>
    </row>
    <row r="32" spans="1:65">
      <c r="C32" s="1"/>
      <c r="D32" s="1"/>
    </row>
  </sheetData>
  <sheetProtection algorithmName="SHA-512" hashValue="TQVTpUNGL3f7NBzujIblf9VpHjt8D9v35XXAXnnepmEHLPD0OntIPJYVMFq18FrIkG/tx8op6vDsSrYl+4mYmQ==" saltValue="B89QQq3KAF/hwnXQRawqDw==" spinCount="100000" sheet="1" objects="1" scenarios="1"/>
  <mergeCells count="63">
    <mergeCell ref="AW5:AW7"/>
    <mergeCell ref="AA5:AA7"/>
    <mergeCell ref="AC5:AC7"/>
    <mergeCell ref="W5:W7"/>
    <mergeCell ref="X5:X7"/>
    <mergeCell ref="AD5:AD7"/>
    <mergeCell ref="AB5:AB7"/>
    <mergeCell ref="Y5:Y7"/>
    <mergeCell ref="AS5:AS7"/>
    <mergeCell ref="AO5:AO7"/>
    <mergeCell ref="AV5:AV7"/>
    <mergeCell ref="AN5:AN7"/>
    <mergeCell ref="AT5:AT7"/>
    <mergeCell ref="AR5:AR7"/>
    <mergeCell ref="A5:A7"/>
    <mergeCell ref="C5:C6"/>
    <mergeCell ref="F5:F7"/>
    <mergeCell ref="L5:L7"/>
    <mergeCell ref="D5:D7"/>
    <mergeCell ref="E5:E7"/>
    <mergeCell ref="G5:G7"/>
    <mergeCell ref="H5:H7"/>
    <mergeCell ref="K5:K7"/>
    <mergeCell ref="J5:J7"/>
    <mergeCell ref="I5:I7"/>
    <mergeCell ref="M5:M7"/>
    <mergeCell ref="AL5:AL7"/>
    <mergeCell ref="AK5:AK7"/>
    <mergeCell ref="O5:O7"/>
    <mergeCell ref="N5:N7"/>
    <mergeCell ref="R5:R7"/>
    <mergeCell ref="S5:S7"/>
    <mergeCell ref="AI5:AI7"/>
    <mergeCell ref="AH5:AH7"/>
    <mergeCell ref="AG5:AG7"/>
    <mergeCell ref="AF5:AF7"/>
    <mergeCell ref="AE5:AE7"/>
    <mergeCell ref="AJ5:AJ7"/>
    <mergeCell ref="V5:V7"/>
    <mergeCell ref="Z5:Z7"/>
    <mergeCell ref="Q5:Q7"/>
    <mergeCell ref="P5:P7"/>
    <mergeCell ref="U5:U7"/>
    <mergeCell ref="T5:T7"/>
    <mergeCell ref="BI6:BI7"/>
    <mergeCell ref="AP5:AP7"/>
    <mergeCell ref="AQ5:AQ7"/>
    <mergeCell ref="BH5:BI5"/>
    <mergeCell ref="BF6:BF7"/>
    <mergeCell ref="BG6:BG7"/>
    <mergeCell ref="BH6:BH7"/>
    <mergeCell ref="BF5:BG5"/>
    <mergeCell ref="AY5:AY7"/>
    <mergeCell ref="AZ5:AZ7"/>
    <mergeCell ref="AM5:AM7"/>
    <mergeCell ref="AX5:AX7"/>
    <mergeCell ref="AU5:AU7"/>
    <mergeCell ref="BM6:BM7"/>
    <mergeCell ref="BJ5:BK5"/>
    <mergeCell ref="BL5:BM5"/>
    <mergeCell ref="BK6:BK7"/>
    <mergeCell ref="BJ6:BJ7"/>
    <mergeCell ref="BL6:BL7"/>
  </mergeCells>
  <phoneticPr fontId="0" type="noConversion"/>
  <conditionalFormatting sqref="E15:E17 E9:E12">
    <cfRule type="cellIs" dxfId="655" priority="249" stopIfTrue="1" operator="notBetween">
      <formula>$E$25</formula>
      <formula>$E$26</formula>
    </cfRule>
  </conditionalFormatting>
  <conditionalFormatting sqref="F15:F17 F9:F12">
    <cfRule type="cellIs" dxfId="654" priority="322" stopIfTrue="1" operator="notBetween">
      <formula>$F$25</formula>
      <formula>$F$26</formula>
    </cfRule>
  </conditionalFormatting>
  <conditionalFormatting sqref="F9:G9 F10:F12 F15:F17">
    <cfRule type="expression" dxfId="653" priority="303" stopIfTrue="1">
      <formula>IF(F9&lt;&gt;G9,TRUE,FALSE)</formula>
    </cfRule>
  </conditionalFormatting>
  <conditionalFormatting sqref="G10:G12 G15:G17">
    <cfRule type="cellIs" dxfId="652" priority="305" stopIfTrue="1" operator="between">
      <formula>$G$25</formula>
      <formula>$G$26</formula>
    </cfRule>
  </conditionalFormatting>
  <conditionalFormatting sqref="H11">
    <cfRule type="cellIs" dxfId="651" priority="72" stopIfTrue="1" operator="greaterThan">
      <formula>$BG$11</formula>
    </cfRule>
    <cfRule type="cellIs" dxfId="650" priority="73" stopIfTrue="1" operator="lessThan">
      <formula>$BF$11</formula>
    </cfRule>
  </conditionalFormatting>
  <conditionalFormatting sqref="H12">
    <cfRule type="cellIs" dxfId="649" priority="70" stopIfTrue="1" operator="greaterThan">
      <formula>$BG$12</formula>
    </cfRule>
    <cfRule type="cellIs" dxfId="648" priority="71" stopIfTrue="1" operator="lessThan">
      <formula>$BF$12</formula>
    </cfRule>
  </conditionalFormatting>
  <conditionalFormatting sqref="L15:L17 L9:L12">
    <cfRule type="cellIs" dxfId="647" priority="1343" stopIfTrue="1" operator="notBetween">
      <formula>$L$25</formula>
      <formula>$L$26</formula>
    </cfRule>
  </conditionalFormatting>
  <conditionalFormatting sqref="M15:M17 M9:M12">
    <cfRule type="cellIs" dxfId="646" priority="1344" stopIfTrue="1" operator="notBetween">
      <formula>$M$25</formula>
      <formula>$M$26</formula>
    </cfRule>
  </conditionalFormatting>
  <conditionalFormatting sqref="N9">
    <cfRule type="cellIs" dxfId="645" priority="1265" stopIfTrue="1" operator="greaterThan">
      <formula>$BM$9</formula>
    </cfRule>
    <cfRule type="cellIs" dxfId="644" priority="1266" stopIfTrue="1" operator="lessThan">
      <formula>$BL$9</formula>
    </cfRule>
  </conditionalFormatting>
  <conditionalFormatting sqref="N10">
    <cfRule type="cellIs" dxfId="643" priority="1269" stopIfTrue="1" operator="greaterThan">
      <formula>$BM$10</formula>
    </cfRule>
    <cfRule type="cellIs" dxfId="642" priority="1270" stopIfTrue="1" operator="lessThan">
      <formula>$BL$10</formula>
    </cfRule>
  </conditionalFormatting>
  <conditionalFormatting sqref="N11">
    <cfRule type="cellIs" dxfId="641" priority="1273" stopIfTrue="1" operator="greaterThan">
      <formula>$BM$11</formula>
    </cfRule>
    <cfRule type="cellIs" dxfId="640" priority="1274" stopIfTrue="1" operator="lessThan">
      <formula>$BL$11</formula>
    </cfRule>
  </conditionalFormatting>
  <conditionalFormatting sqref="N11:N12">
    <cfRule type="cellIs" dxfId="639" priority="111" stopIfTrue="1" operator="greaterThan">
      <formula>$BM$9</formula>
    </cfRule>
    <cfRule type="cellIs" dxfId="638" priority="112" stopIfTrue="1" operator="lessThan">
      <formula>$BL$9</formula>
    </cfRule>
  </conditionalFormatting>
  <conditionalFormatting sqref="N12">
    <cfRule type="cellIs" dxfId="637" priority="769" stopIfTrue="1" operator="greaterThan">
      <formula>$BG$12</formula>
    </cfRule>
    <cfRule type="cellIs" dxfId="636" priority="770" stopIfTrue="1" operator="lessThan">
      <formula>$BF$12</formula>
    </cfRule>
  </conditionalFormatting>
  <conditionalFormatting sqref="N15">
    <cfRule type="cellIs" dxfId="635" priority="1289" stopIfTrue="1" operator="greaterThan">
      <formula>$BM$15</formula>
    </cfRule>
    <cfRule type="cellIs" dxfId="634" priority="1290" stopIfTrue="1" operator="lessThan">
      <formula>$BL$15</formula>
    </cfRule>
  </conditionalFormatting>
  <conditionalFormatting sqref="N16">
    <cfRule type="cellIs" dxfId="633" priority="785" stopIfTrue="1" operator="greaterThan">
      <formula>$BG$16</formula>
    </cfRule>
    <cfRule type="cellIs" dxfId="632" priority="786" stopIfTrue="1" operator="lessThan">
      <formula>$BF$16</formula>
    </cfRule>
  </conditionalFormatting>
  <conditionalFormatting sqref="N17">
    <cfRule type="cellIs" dxfId="631" priority="155" stopIfTrue="1" operator="greaterThan">
      <formula>$BM$17</formula>
    </cfRule>
    <cfRule type="cellIs" dxfId="630" priority="156" stopIfTrue="1" operator="lessThan">
      <formula>$BL$17</formula>
    </cfRule>
  </conditionalFormatting>
  <conditionalFormatting sqref="N17">
    <cfRule type="cellIs" dxfId="629" priority="127" stopIfTrue="1" operator="greaterThan">
      <formula>$BM$15</formula>
    </cfRule>
    <cfRule type="cellIs" dxfId="628" priority="128" stopIfTrue="1" operator="lessThan">
      <formula>$BL$15</formula>
    </cfRule>
  </conditionalFormatting>
  <conditionalFormatting sqref="O10">
    <cfRule type="expression" dxfId="627" priority="82" stopIfTrue="1">
      <formula>$O$12&lt;$BL$12</formula>
    </cfRule>
    <cfRule type="expression" dxfId="626" priority="83" stopIfTrue="1">
      <formula>$O$12&gt;$BM$12</formula>
    </cfRule>
  </conditionalFormatting>
  <conditionalFormatting sqref="O12">
    <cfRule type="expression" dxfId="625" priority="1721" stopIfTrue="1">
      <formula>$O$12&lt;$BL$12</formula>
    </cfRule>
    <cfRule type="expression" dxfId="624" priority="1722" stopIfTrue="1">
      <formula>$O$12&gt;$BM$12</formula>
    </cfRule>
  </conditionalFormatting>
  <conditionalFormatting sqref="O16:O17">
    <cfRule type="cellIs" dxfId="623" priority="80" stopIfTrue="1" operator="lessThan">
      <formula>$BL$16</formula>
    </cfRule>
    <cfRule type="cellIs" dxfId="622" priority="81" stopIfTrue="1" operator="greaterThan">
      <formula>$BM$16</formula>
    </cfRule>
  </conditionalFormatting>
  <conditionalFormatting sqref="P9:Q12">
    <cfRule type="cellIs" dxfId="621" priority="110" stopIfTrue="1" operator="notBetween">
      <formula>$Q$25</formula>
      <formula>$Q$26</formula>
    </cfRule>
  </conditionalFormatting>
  <conditionalFormatting sqref="P15:Q17">
    <cfRule type="cellIs" dxfId="620" priority="108" stopIfTrue="1" operator="notBetween">
      <formula>$Q$25</formula>
      <formula>$Q$26</formula>
    </cfRule>
  </conditionalFormatting>
  <conditionalFormatting sqref="R15:R17 R9:R12">
    <cfRule type="cellIs" dxfId="619" priority="1346" stopIfTrue="1" operator="notBetween">
      <formula>$R$25</formula>
      <formula>$R$26</formula>
    </cfRule>
  </conditionalFormatting>
  <conditionalFormatting sqref="S15:S17 S9:S12">
    <cfRule type="cellIs" dxfId="618" priority="1347" stopIfTrue="1" operator="notBetween">
      <formula>$S$25</formula>
      <formula>$S$26</formula>
    </cfRule>
  </conditionalFormatting>
  <conditionalFormatting sqref="T15:T17 T9:T12">
    <cfRule type="cellIs" dxfId="617" priority="1348" stopIfTrue="1" operator="notBetween">
      <formula>$T$25</formula>
      <formula>$T$26</formula>
    </cfRule>
  </conditionalFormatting>
  <conditionalFormatting sqref="V15:V17 V9:V12">
    <cfRule type="cellIs" dxfId="616" priority="85" stopIfTrue="1" operator="notBetween">
      <formula>$V$25</formula>
      <formula>$V$26</formula>
    </cfRule>
  </conditionalFormatting>
  <conditionalFormatting sqref="W15:W17 W9:W12">
    <cfRule type="cellIs" dxfId="615" priority="307" stopIfTrue="1" operator="notBetween">
      <formula>$W$25</formula>
      <formula>$W$26</formula>
    </cfRule>
  </conditionalFormatting>
  <conditionalFormatting sqref="X15:X17 X9:X12">
    <cfRule type="cellIs" dxfId="614" priority="1350" stopIfTrue="1" operator="notBetween">
      <formula>$X$25</formula>
      <formula>$X$26</formula>
    </cfRule>
  </conditionalFormatting>
  <conditionalFormatting sqref="Y15:Y17 Y9:Y12">
    <cfRule type="cellIs" dxfId="613" priority="1351" stopIfTrue="1" operator="notBetween">
      <formula>$Y$25</formula>
      <formula>$Y$26</formula>
    </cfRule>
  </conditionalFormatting>
  <conditionalFormatting sqref="Z15:Z17 Z9:Z12">
    <cfRule type="cellIs" dxfId="612" priority="1358" stopIfTrue="1" operator="notBetween">
      <formula>$Z$25</formula>
      <formula>$Z$26</formula>
    </cfRule>
  </conditionalFormatting>
  <conditionalFormatting sqref="AA15:AA17 AA9:AA12">
    <cfRule type="cellIs" dxfId="611" priority="1359" stopIfTrue="1" operator="notBetween">
      <formula>$AA$25</formula>
      <formula>$AA$26</formula>
    </cfRule>
  </conditionalFormatting>
  <conditionalFormatting sqref="AB15:AB17 AB9:AB12">
    <cfRule type="cellIs" dxfId="610" priority="1352" stopIfTrue="1" operator="notBetween">
      <formula>$AB$25</formula>
      <formula>$AB$26</formula>
    </cfRule>
  </conditionalFormatting>
  <conditionalFormatting sqref="AC15:AC17 AC9:AC12">
    <cfRule type="cellIs" dxfId="609" priority="1360" stopIfTrue="1" operator="notBetween">
      <formula>$AC$25</formula>
      <formula>$AC$26</formula>
    </cfRule>
  </conditionalFormatting>
  <conditionalFormatting sqref="AD15:AD17 AD9:AD12">
    <cfRule type="cellIs" dxfId="608" priority="1353" stopIfTrue="1" operator="notBetween">
      <formula>$AD$25</formula>
      <formula>$AD$26</formula>
    </cfRule>
  </conditionalFormatting>
  <conditionalFormatting sqref="AE15:AE17 AE9:AE12">
    <cfRule type="cellIs" dxfId="607" priority="311" stopIfTrue="1" operator="notBetween">
      <formula>$AE$25</formula>
      <formula>$AE$26</formula>
    </cfRule>
  </conditionalFormatting>
  <conditionalFormatting sqref="AF15:AF17 AF9:AF12">
    <cfRule type="cellIs" dxfId="606" priority="308" stopIfTrue="1" operator="notBetween">
      <formula>$AF$25</formula>
      <formula>$AF$26</formula>
    </cfRule>
  </conditionalFormatting>
  <conditionalFormatting sqref="AG15:AG17 AG9:AG12">
    <cfRule type="cellIs" dxfId="605" priority="1719" stopIfTrue="1" operator="notBetween">
      <formula>$AG$25</formula>
      <formula>$AG$26</formula>
    </cfRule>
  </conditionalFormatting>
  <conditionalFormatting sqref="AH15:AH17 AH9:AH12">
    <cfRule type="cellIs" dxfId="604" priority="1354" stopIfTrue="1" operator="notBetween">
      <formula>$AH$25</formula>
      <formula>$AH$26</formula>
    </cfRule>
  </conditionalFormatting>
  <conditionalFormatting sqref="AI15:AI17 AI9:AI12">
    <cfRule type="cellIs" dxfId="603" priority="310" stopIfTrue="1" operator="notBetween">
      <formula>$AI$25</formula>
      <formula>$AI$26</formula>
    </cfRule>
  </conditionalFormatting>
  <conditionalFormatting sqref="AJ15:AJ17 AJ9:AJ12">
    <cfRule type="cellIs" dxfId="602" priority="312" stopIfTrue="1" operator="notBetween">
      <formula>$AJ$25</formula>
      <formula>$AJ$26</formula>
    </cfRule>
  </conditionalFormatting>
  <conditionalFormatting sqref="AK15:AK17 AK9:AK12">
    <cfRule type="cellIs" dxfId="601" priority="1355" stopIfTrue="1" operator="notBetween">
      <formula>$AK$25</formula>
      <formula>$AK$26</formula>
    </cfRule>
  </conditionalFormatting>
  <conditionalFormatting sqref="AL15:AL17 AL9:AL12">
    <cfRule type="cellIs" dxfId="600" priority="314" stopIfTrue="1" operator="notBetween">
      <formula>$AL$25</formula>
      <formula>$AL$26</formula>
    </cfRule>
  </conditionalFormatting>
  <conditionalFormatting sqref="AM15:AM17 AM9:AM12">
    <cfRule type="cellIs" dxfId="599" priority="318" stopIfTrue="1" operator="notBetween">
      <formula>$AM$25</formula>
      <formula>$AM$26</formula>
    </cfRule>
  </conditionalFormatting>
  <conditionalFormatting sqref="AN15:AN17 AN9:AN12">
    <cfRule type="cellIs" dxfId="598" priority="319" stopIfTrue="1" operator="notBetween">
      <formula>$AN$25</formula>
      <formula>$AN$26</formula>
    </cfRule>
  </conditionalFormatting>
  <conditionalFormatting sqref="AO15:AO17 AO9:AO12">
    <cfRule type="cellIs" dxfId="597" priority="320" stopIfTrue="1" operator="notBetween">
      <formula>$AO$25</formula>
      <formula>$AO$26</formula>
    </cfRule>
  </conditionalFormatting>
  <conditionalFormatting sqref="AP15:AP17 AP9:AP12">
    <cfRule type="cellIs" dxfId="596" priority="254" stopIfTrue="1" operator="notBetween">
      <formula>$AP$25</formula>
      <formula>$AP$26</formula>
    </cfRule>
  </conditionalFormatting>
  <conditionalFormatting sqref="AQ15:AQ17 AQ9:AQ12">
    <cfRule type="cellIs" dxfId="595" priority="251" stopIfTrue="1" operator="notBetween">
      <formula>$AQ$25</formula>
      <formula>$AQ$26</formula>
    </cfRule>
  </conditionalFormatting>
  <conditionalFormatting sqref="AR15:AR17 AR9:AR12">
    <cfRule type="cellIs" dxfId="594" priority="377" stopIfTrue="1" operator="notBetween">
      <formula>$AR$25</formula>
      <formula>$AR$26</formula>
    </cfRule>
  </conditionalFormatting>
  <conditionalFormatting sqref="AS15:AS17 AS9:AS12">
    <cfRule type="cellIs" dxfId="593" priority="250" stopIfTrue="1" operator="notBetween">
      <formula>$AS$25</formula>
      <formula>$AS$26</formula>
    </cfRule>
  </conditionalFormatting>
  <conditionalFormatting sqref="AT15:AT17 AT9:AT12">
    <cfRule type="cellIs" dxfId="592" priority="1356" stopIfTrue="1" operator="notBetween">
      <formula>$AT$25</formula>
      <formula>$AT$26</formula>
    </cfRule>
  </conditionalFormatting>
  <conditionalFormatting sqref="AU15:AU17 AU9:AU12">
    <cfRule type="cellIs" dxfId="591" priority="1357" stopIfTrue="1" operator="notBetween">
      <formula>$AU$25</formula>
      <formula>$AU$26</formula>
    </cfRule>
  </conditionalFormatting>
  <conditionalFormatting sqref="AV15:AW17 AV9:AW12">
    <cfRule type="cellIs" dxfId="590" priority="1" stopIfTrue="1" operator="notBetween">
      <formula>$AV$25</formula>
      <formula>$AV$26</formula>
    </cfRule>
  </conditionalFormatting>
  <conditionalFormatting sqref="BF8:BM8 BF13:BM14 BF18:BM19">
    <cfRule type="cellIs" dxfId="589" priority="759" stopIfTrue="1" operator="equal">
      <formula>$A$31</formula>
    </cfRule>
  </conditionalFormatting>
  <conditionalFormatting sqref="BF15:BM17 BF9:BM12">
    <cfRule type="cellIs" dxfId="588" priority="758" stopIfTrue="1" operator="equal">
      <formula>$A$31</formula>
    </cfRule>
  </conditionalFormatting>
  <conditionalFormatting sqref="N10">
    <cfRule type="cellIs" dxfId="587" priority="3346" stopIfTrue="1" operator="greaterThan">
      <formula>#REF!</formula>
    </cfRule>
    <cfRule type="cellIs" dxfId="586" priority="3347" stopIfTrue="1" operator="lessThan">
      <formula>#REF!</formula>
    </cfRule>
  </conditionalFormatting>
  <printOptions horizontalCentered="1"/>
  <pageMargins left="0.39370078740157483" right="0.39370078740157483" top="0.39370078740157483" bottom="0.39370078740157483" header="0.19685039370078741" footer="0"/>
  <pageSetup paperSize="9" scale="52" orientation="landscape" r:id="rId1"/>
  <headerFooter alignWithMargins="0">
    <oddHeader>&amp;L&amp;"Trebuchet MS,Negrita"&amp;16&amp;G
Indicadores</oddHeader>
    <oddFooter>&amp;CPágina &amp;P</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indexed="41"/>
  </sheetPr>
  <dimension ref="A1:T33"/>
  <sheetViews>
    <sheetView topLeftCell="C1" zoomScale="85" zoomScaleNormal="85" workbookViewId="0">
      <selection activeCell="C1" sqref="C1"/>
    </sheetView>
  </sheetViews>
  <sheetFormatPr baseColWidth="10" defaultRowHeight="12.75"/>
  <cols>
    <col min="1" max="1" width="11.42578125" hidden="1" customWidth="1"/>
    <col min="2" max="2" width="9.42578125" style="174" hidden="1" customWidth="1"/>
    <col min="3" max="3" width="37" customWidth="1"/>
    <col min="4" max="4" width="13.28515625" customWidth="1"/>
    <col min="5" max="5" width="12" customWidth="1"/>
    <col min="6" max="6" width="10.5703125" bestFit="1" customWidth="1"/>
    <col min="7" max="7" width="12" customWidth="1"/>
    <col min="8" max="8" width="11.140625" customWidth="1"/>
    <col min="9" max="10" width="12.28515625" customWidth="1"/>
    <col min="11" max="11" width="12.7109375" bestFit="1" customWidth="1"/>
    <col min="12" max="12" width="7.140625" customWidth="1"/>
    <col min="13" max="13" width="11.42578125" hidden="1" customWidth="1"/>
    <col min="14" max="14" width="12.85546875" hidden="1" customWidth="1"/>
    <col min="15" max="19" width="11.42578125" hidden="1" customWidth="1"/>
    <col min="20" max="20" width="16.28515625" hidden="1" customWidth="1"/>
  </cols>
  <sheetData>
    <row r="1" spans="2:20" ht="22.5" customHeight="1"/>
    <row r="2" spans="2:20" ht="17.25" customHeight="1">
      <c r="C2" s="264"/>
      <c r="D2" s="261" t="str">
        <f>Criterios!A9 &amp;"  "&amp;Criterios!B9</f>
        <v>Tribunales de Justicia  CATALUÑA</v>
      </c>
      <c r="E2" s="262"/>
    </row>
    <row r="3" spans="2:20" ht="17.25" customHeight="1">
      <c r="C3" s="266"/>
      <c r="D3" s="261" t="str">
        <f>Criterios!A10 &amp;"  "&amp;Criterios!B10</f>
        <v>Provincias  BARCELONA</v>
      </c>
      <c r="E3" s="262"/>
    </row>
    <row r="4" spans="2:20" ht="17.25" customHeight="1" thickBot="1">
      <c r="D4" s="261" t="str">
        <f>Criterios!A11 &amp;"  "&amp;Criterios!B11</f>
        <v>Resumenes por Partidos Judiciales  VIC</v>
      </c>
      <c r="E4" s="262"/>
    </row>
    <row r="5" spans="2:20" ht="12.75" customHeight="1">
      <c r="B5" s="271"/>
      <c r="C5" s="1287" t="str">
        <f>"Año:  " &amp;Criterios!B5 &amp; "          Trimestre   " &amp;Criterios!D5 &amp; " al " &amp;Criterios!D6</f>
        <v>Año:  2025          Trimestre   4 al 4</v>
      </c>
      <c r="D5" s="1275" t="s">
        <v>128</v>
      </c>
      <c r="E5" s="1317" t="s">
        <v>13</v>
      </c>
      <c r="F5" s="1314" t="s">
        <v>9</v>
      </c>
      <c r="G5" s="1311" t="s">
        <v>129</v>
      </c>
      <c r="H5" s="1308" t="s">
        <v>7</v>
      </c>
      <c r="I5" s="1272" t="s">
        <v>120</v>
      </c>
      <c r="J5" s="1301" t="s">
        <v>121</v>
      </c>
      <c r="K5" s="1263" t="s">
        <v>122</v>
      </c>
      <c r="M5" s="161"/>
      <c r="N5" s="169" t="s">
        <v>277</v>
      </c>
      <c r="O5" s="161"/>
      <c r="P5" s="161"/>
      <c r="Q5" s="170" t="s">
        <v>278</v>
      </c>
      <c r="R5" s="170"/>
      <c r="S5" s="168"/>
      <c r="T5" s="168"/>
    </row>
    <row r="6" spans="2:20" ht="12.75" customHeight="1">
      <c r="B6" s="272"/>
      <c r="C6" s="1288"/>
      <c r="D6" s="1276"/>
      <c r="E6" s="1318"/>
      <c r="F6" s="1315"/>
      <c r="G6" s="1312"/>
      <c r="H6" s="1309"/>
      <c r="I6" s="1273"/>
      <c r="J6" s="1302"/>
      <c r="K6" s="1264"/>
      <c r="M6" s="1304" t="s">
        <v>293</v>
      </c>
      <c r="N6" s="1304" t="s">
        <v>274</v>
      </c>
      <c r="O6" s="1304" t="s">
        <v>275</v>
      </c>
      <c r="P6" s="1304" t="s">
        <v>276</v>
      </c>
      <c r="Q6" s="1304" t="s">
        <v>293</v>
      </c>
      <c r="R6" s="1304" t="s">
        <v>274</v>
      </c>
      <c r="S6" s="1304" t="s">
        <v>275</v>
      </c>
      <c r="T6" s="1304" t="s">
        <v>276</v>
      </c>
    </row>
    <row r="7" spans="2:20" ht="23.25" customHeight="1" thickBot="1">
      <c r="B7" s="273"/>
      <c r="C7" s="263" t="str">
        <f>Datos!A7</f>
        <v>COMPETENCIAS</v>
      </c>
      <c r="D7" s="1320"/>
      <c r="E7" s="1319"/>
      <c r="F7" s="1316"/>
      <c r="G7" s="1313"/>
      <c r="H7" s="1310"/>
      <c r="I7" s="1321"/>
      <c r="J7" s="1305"/>
      <c r="K7" s="1306"/>
      <c r="M7" s="1304"/>
      <c r="N7" s="1304"/>
      <c r="O7" s="1304"/>
      <c r="P7" s="1304"/>
      <c r="Q7" s="1304"/>
      <c r="R7" s="1304"/>
      <c r="S7" s="1304"/>
      <c r="T7" s="1304"/>
    </row>
    <row r="8" spans="2:20" ht="14.25">
      <c r="B8" s="175"/>
      <c r="C8" s="160" t="str">
        <f>Datos!A8</f>
        <v>Jurisdicción Civil ( 1 ):</v>
      </c>
      <c r="D8" s="238"/>
      <c r="E8" s="239"/>
      <c r="F8" s="239"/>
      <c r="G8" s="239"/>
      <c r="H8" s="268"/>
      <c r="I8" s="240"/>
      <c r="J8" s="240"/>
      <c r="K8" s="241"/>
      <c r="M8" s="161"/>
      <c r="N8" s="161"/>
      <c r="O8" s="161"/>
      <c r="P8" s="161"/>
      <c r="Q8" s="162"/>
      <c r="R8" s="162"/>
      <c r="S8" s="162"/>
      <c r="T8" s="162"/>
    </row>
    <row r="9" spans="2:20" ht="14.25">
      <c r="B9" s="176" t="s">
        <v>246</v>
      </c>
      <c r="C9" s="159" t="str">
        <f>Datos!A9</f>
        <v xml:space="preserve">Jdos. 1ª Instancia   </v>
      </c>
      <c r="D9" s="347" t="str">
        <f>IF(ISNUMBER((Indicadores!G9-(Datos!S9-M9+Q9))/(Datos!S9-M9+Q9)),(Indicadores!G9-(Datos!S9-M9+Q9))/(Datos!S9-M9+Q9)," - ")</f>
        <v xml:space="preserve"> - </v>
      </c>
      <c r="E9" s="347" t="str">
        <f>IF(ISNUMBER((Indicadores!H9-(Datos!T9-N9+R9))/(Datos!T9-N9+R9)),(Indicadores!H9-(Datos!T9-N9+R9))/(Datos!T9-N9+R9)," - ")</f>
        <v xml:space="preserve"> - </v>
      </c>
      <c r="F9" s="347" t="str">
        <f>IF(ISNUMBER((Indicadores!W9-(Datos!U9-O9+S9))/(Datos!U9-O9+S9)),(Indicadores!W9-(Datos!U9-O9+S9))/(Datos!U9-O9+S9)," - ")</f>
        <v xml:space="preserve"> - </v>
      </c>
      <c r="G9" s="348" t="str">
        <f>IF(ISNUMBER((Indicadores!AA9-(Datos!V9-P9+T9))/(Datos!V9-P9+T9)),(Indicadores!AA9-(Datos!V9-P9+T9))/(Datos!V9-P9+T9)," - ")</f>
        <v xml:space="preserve"> - </v>
      </c>
      <c r="H9" s="229" t="str">
        <f>IF(ISNUMBER((Datos!M9-Datos!W9)/Datos!W9),(Datos!M9-Datos!W9)/Datos!W9," - ")</f>
        <v xml:space="preserve"> - </v>
      </c>
      <c r="I9" s="349" t="str">
        <f>IF(ISNUMBER((Tasas!C9-Datos!BE9)/Datos!BE9),(Tasas!C9-Datos!BE9)/Datos!BE9," - ")</f>
        <v xml:space="preserve"> - </v>
      </c>
      <c r="J9" s="348" t="str">
        <f>IF(ISNUMBER((Tasas!D9-Datos!BF9)/Datos!BF9),(Tasas!D9-Datos!BF9)/Datos!BF9," - ")</f>
        <v xml:space="preserve"> - </v>
      </c>
      <c r="K9" s="350" t="str">
        <f>IF(ISNUMBER((Tasas!E9-Datos!BG9)/Datos!BG9),(Tasas!E9-Datos!BG9)/Datos!BG9," - ")</f>
        <v xml:space="preserve"> - </v>
      </c>
      <c r="M9" t="e">
        <f>IF(Monitorios="SI",Datos!CE9,0)</f>
        <v>#REF!</v>
      </c>
      <c r="N9" t="e">
        <f>IF(Monitorios="SI",Datos!CF9,0)</f>
        <v>#REF!</v>
      </c>
      <c r="O9" t="e">
        <f>IF(Monitorios="SI",Datos!CG9,0)</f>
        <v>#REF!</v>
      </c>
      <c r="P9" t="e">
        <f>IF(Monitorios="SI",Datos!CH9,0)</f>
        <v>#REF!</v>
      </c>
      <c r="Q9">
        <f>IF(J_V="SI",0,Datos!AG9)</f>
        <v>0</v>
      </c>
      <c r="R9">
        <f>IF(J_V="SI",0,Datos!AH9)</f>
        <v>0</v>
      </c>
      <c r="S9">
        <f>IF(J_V="SI",0,Datos!AI9)</f>
        <v>0</v>
      </c>
      <c r="T9">
        <f>IF(J_V="SI",0,Datos!AJ9)</f>
        <v>0</v>
      </c>
    </row>
    <row r="10" spans="2:20" ht="14.25">
      <c r="B10" s="274" t="s">
        <v>246</v>
      </c>
      <c r="C10" s="7" t="str">
        <f>Datos!A10</f>
        <v>Jdos. Violencia contra la mujer/Secc Viol. TI.</v>
      </c>
      <c r="D10" s="351">
        <f>IF(ISNUMBER((Datos!I10-Datos!S10)/Datos!S10),(Datos!I10-Datos!S10)/Datos!S10," - ")</f>
        <v>1.0309278350515464E-2</v>
      </c>
      <c r="E10" s="347">
        <f>IF(ISNUMBER((Datos!J10-Datos!T10)/Datos!T10),(Datos!J10-Datos!T10)/Datos!T10," - ")</f>
        <v>-0.26666666666666666</v>
      </c>
      <c r="F10" s="347">
        <f>IF(ISNUMBER((Datos!K10-Datos!U10)/Datos!U10),(Datos!K10-Datos!U10)/Datos!U10," - ")</f>
        <v>-0.5714285714285714</v>
      </c>
      <c r="G10" s="348">
        <f>IF(ISNUMBER((Datos!L10-Datos!V10)/Datos!V10),(Datos!L10-Datos!V10)/Datos!V10," - ")</f>
        <v>0.15476190476190477</v>
      </c>
      <c r="H10" s="229">
        <f>IF(ISNUMBER((Datos!M10-Datos!W10)/Datos!W10),(Datos!M10-Datos!W10)/Datos!W10," - ")</f>
        <v>-0.27272727272727271</v>
      </c>
      <c r="I10" s="349">
        <f>IF(ISNUMBER((Tasas!C10-Datos!BE10)/Datos!BE10),(Tasas!C10-Datos!BE10)/Datos!BE10," - ")</f>
        <v>1.6944444444444446</v>
      </c>
      <c r="J10" s="348">
        <f>IF(ISNUMBER((Tasas!D10-Datos!BF10)/Datos!BF10),(Tasas!D10-Datos!BF10)/Datos!BF10," - ")</f>
        <v>0.69696969696969691</v>
      </c>
      <c r="K10" s="350">
        <f>IF(ISNUMBER((Tasas!E10-Datos!BG10)/Datos!BG10),(Tasas!E10-Datos!BG10)/Datos!BG10," - ")</f>
        <v>1.2708333333333335</v>
      </c>
    </row>
    <row r="11" spans="2:20" ht="14.25">
      <c r="B11" s="274" t="s">
        <v>246</v>
      </c>
      <c r="C11" s="159" t="str">
        <f>Datos!A11</f>
        <v xml:space="preserve">Jdos. Familia                                   </v>
      </c>
      <c r="D11" s="347" t="str">
        <f>IF(ISNUMBER((Indicadores!G11-(Datos!S11-M11+Q11))/(Datos!S11-M11+Q11)),(Indicadores!G11-(Datos!S11-M11+Q11))/(Datos!S11-M11+Q11)," - ")</f>
        <v xml:space="preserve"> - </v>
      </c>
      <c r="E11" s="347" t="str">
        <f>IF(ISNUMBER((Indicadores!H11-(Datos!T11-N11+R11))/(Datos!T11-N11+R11)),(Indicadores!H11-(Datos!T11-N11+R11))/(Datos!T11-N11+R11)," - ")</f>
        <v xml:space="preserve"> - </v>
      </c>
      <c r="F11" s="347" t="str">
        <f>IF(ISNUMBER((Indicadores!W11-(Datos!U11-O11+S11))/(Datos!U11-O11+S11)),(Indicadores!W11-(Datos!U11-O11+S11))/(Datos!U11-O11+S11)," - ")</f>
        <v xml:space="preserve"> - </v>
      </c>
      <c r="G11" s="348" t="str">
        <f>IF(ISNUMBER((Indicadores!AA11-(Datos!V11-P11+T11))/(Datos!V11-P11+T11)),(Indicadores!AA11-(Datos!V11-P11+T11))/(Datos!V11-P11+T11)," - ")</f>
        <v xml:space="preserve"> - </v>
      </c>
      <c r="H11" s="229" t="str">
        <f>IF(ISNUMBER((Datos!M11-Datos!W11)/Datos!W11),(Datos!M11-Datos!W11)/Datos!W11," - ")</f>
        <v xml:space="preserve"> - </v>
      </c>
      <c r="I11" s="349" t="str">
        <f>IF(ISNUMBER((Tasas!C11-Datos!BE11)/Datos!BE11),(Tasas!C11-Datos!BE11)/Datos!BE11," - ")</f>
        <v xml:space="preserve"> - </v>
      </c>
      <c r="J11" s="348" t="str">
        <f>IF(ISNUMBER((Tasas!D11-Datos!BF11)/Datos!BF11),(Tasas!D11-Datos!BF11)/Datos!BF11," - ")</f>
        <v xml:space="preserve"> - </v>
      </c>
      <c r="K11" s="350" t="str">
        <f>IF(ISNUMBER((Tasas!E11-Datos!BG11)/Datos!BG11),(Tasas!E11-Datos!BG11)/Datos!BG11," - ")</f>
        <v xml:space="preserve"> - </v>
      </c>
      <c r="M11" t="e">
        <f>IF(Monitorios="SI",Datos!CE11,0)</f>
        <v>#REF!</v>
      </c>
      <c r="N11" t="e">
        <f>IF(Monitorios="SI",Datos!CF11,0)</f>
        <v>#REF!</v>
      </c>
      <c r="O11" t="e">
        <f>IF(Monitorios="SI",Datos!CG11,0)</f>
        <v>#REF!</v>
      </c>
      <c r="P11" t="e">
        <f>IF(Monitorios="SI",Datos!CH11,0)</f>
        <v>#REF!</v>
      </c>
      <c r="Q11">
        <f>IF(J_V="SI",0,Datos!AG11)</f>
        <v>0</v>
      </c>
      <c r="R11">
        <f>IF(J_V="SI",0,Datos!AH11)</f>
        <v>0</v>
      </c>
      <c r="S11">
        <f>IF(J_V="SI",0,Datos!AI11)</f>
        <v>0</v>
      </c>
      <c r="T11">
        <f>IF(J_V="SI",0,Datos!AJ11)</f>
        <v>0</v>
      </c>
    </row>
    <row r="12" spans="2:20" ht="15" thickBot="1">
      <c r="B12" s="274" t="s">
        <v>246</v>
      </c>
      <c r="C12" s="159" t="str">
        <f>Datos!A12</f>
        <v xml:space="preserve">Jdos. 1ª Instª. e Instr./Secc. Civil y de Inst. TI                      </v>
      </c>
      <c r="D12" s="347" t="str">
        <f>IF(ISNUMBER((Indicadores!G12-(Datos!S12+M12+Q12))/(Datos!S12+M12+Q12)),(Indicadores!G12-(Datos!S12+M12+Q12))/(Datos!S12+M12+Q12)," - ")</f>
        <v xml:space="preserve"> - </v>
      </c>
      <c r="E12" s="347" t="str">
        <f>IF(ISNUMBER((Indicadores!H12-(Datos!T12+N12+R12))/(Datos!T12+N12+R12)),(Indicadores!H12-(Datos!T12+N12+R12))/(Datos!T12+N12+R12)," - ")</f>
        <v xml:space="preserve"> - </v>
      </c>
      <c r="F12" s="347" t="str">
        <f>IF(ISNUMBER((Indicadores!W12-(Datos!U12+O12+S12))/(Datos!U12+O12+S12)),(Indicadores!W12-(Datos!U12+O12+S12))/(Datos!U12+O12+S12)," - ")</f>
        <v xml:space="preserve"> - </v>
      </c>
      <c r="G12" s="348" t="str">
        <f>IF(ISNUMBER((Indicadores!AA12-(Datos!V12-P12+T12))/(Datos!V12-P12+T12)),(Indicadores!AA12-(Datos!V12-P12+T12))/(Datos!V12-P12+T12)," - ")</f>
        <v xml:space="preserve"> - </v>
      </c>
      <c r="H12" s="229">
        <f>IF(ISNUMBER((Datos!M12-Datos!W12)/Datos!W12),(Datos!M12-Datos!W12)/Datos!W12," - ")</f>
        <v>0.11616161616161616</v>
      </c>
      <c r="I12" s="349">
        <f>IF(ISNUMBER((Tasas!C12-Datos!BE12)/Datos!BE12),(Tasas!C12-Datos!BE12)/Datos!BE12," - ")</f>
        <v>-0.43704610766196272</v>
      </c>
      <c r="J12" s="348">
        <f>IF(ISNUMBER((Tasas!D12-Datos!BF12)/Datos!BF12),(Tasas!D12-Datos!BF12)/Datos!BF12," - ")</f>
        <v>-0.5828460038986355</v>
      </c>
      <c r="K12" s="350">
        <f>IF(ISNUMBER((Tasas!E12-Datos!BG12)/Datos!BG12),(Tasas!E12-Datos!BG12)/Datos!BG12," - ")</f>
        <v>-0.35446029560421977</v>
      </c>
      <c r="M12" t="e">
        <f>IF(Monitorios="SI",Datos!CE12,0)</f>
        <v>#REF!</v>
      </c>
      <c r="N12" t="e">
        <f>IF(Monitorios="SI",Datos!CF12,0)</f>
        <v>#REF!</v>
      </c>
      <c r="O12" t="e">
        <f>IF(Monitorios="SI",Datos!CG12,0)</f>
        <v>#REF!</v>
      </c>
      <c r="P12" t="e">
        <f>IF(Monitorios="SI",Datos!CH12,0)</f>
        <v>#REF!</v>
      </c>
      <c r="Q12">
        <f>IF(J_V="SI",0,Datos!AG12)</f>
        <v>81</v>
      </c>
      <c r="R12">
        <f>IF(J_V="SI",0,Datos!AH12)</f>
        <v>94</v>
      </c>
      <c r="S12">
        <f>IF(J_V="SI",0,Datos!AI12)</f>
        <v>101</v>
      </c>
      <c r="T12">
        <f>IF(J_V="SI",0,Datos!AJ12)</f>
        <v>74</v>
      </c>
    </row>
    <row r="13" spans="2:20" ht="16.5" hidden="1" thickTop="1" thickBot="1">
      <c r="B13" s="177"/>
      <c r="C13" s="72" t="str">
        <f>Datos!A13</f>
        <v>TOTAL</v>
      </c>
      <c r="D13" s="352" t="str">
        <f>IF(ISNUMBER((Indicadores!G13-(Datos!S13-M13+Q13))/(Datos!S13-M13+Q13)),(Indicadores!G13-(Datos!S13-M13+Q13))/(Datos!S13-M13+Q13)," - ")</f>
        <v xml:space="preserve"> - </v>
      </c>
      <c r="E13" s="353" t="str">
        <f>IF(ISNUMBER((Indicadores!H13-(Datos!T13-N13+R13))/(Datos!T13-N13+R13)),(Indicadores!H13-(Datos!T13-N13+R13))/(Datos!T13-N13+R13)," - ")</f>
        <v xml:space="preserve"> - </v>
      </c>
      <c r="F13" s="353" t="str">
        <f>IF(ISNUMBER((Indicadores!W13-(Datos!U13-O13+S13))/(Datos!U13-O13+S13)),(Indicadores!W13-(Datos!U13-O13+S13))/(Datos!U13-O13+S13)," - ")</f>
        <v xml:space="preserve"> - </v>
      </c>
      <c r="G13" s="354" t="str">
        <f>IF(ISNUMBER((Indicadores!F13-(Datos!V13-P13+T13))/(Datos!V13-P13+T13)),(Indicadores!F13-(Datos!V13-P13+T13))/(Datos!V13-P13+T13)," - ")</f>
        <v xml:space="preserve"> - </v>
      </c>
      <c r="H13" s="355">
        <f>IF(ISNUMBER((Datos!M13-Datos!W13)/Datos!W13),(Datos!M13-Datos!W13)/Datos!W13," - ")</f>
        <v>0.10565110565110565</v>
      </c>
      <c r="I13" s="356">
        <f>IF(ISNUMBER((Tasas!C13-Datos!BE13)/Datos!BE13),(Tasas!C13-Datos!BE13)/Datos!BE13," - ")</f>
        <v>-0.42790484005965218</v>
      </c>
      <c r="J13" s="354">
        <f>IF(ISNUMBER((Tasas!D13-Datos!BF13)/Datos!BF13),(Tasas!D13-Datos!BF13)/Datos!BF13," - ")</f>
        <v>-0.57691816099736426</v>
      </c>
      <c r="K13" s="357">
        <f>IF(ISNUMBER((Tasas!E13-Datos!BG13)/Datos!BG13),(Tasas!E13-Datos!BG13)/Datos!BG13," - ")</f>
        <v>-0.34674594686874266</v>
      </c>
      <c r="M13" t="e">
        <f>IF(Monitorios="SI",Datos!CE13,0)</f>
        <v>#REF!</v>
      </c>
      <c r="N13" t="e">
        <f>IF(Monitorios="SI",Datos!CF13,0)</f>
        <v>#REF!</v>
      </c>
      <c r="O13" t="e">
        <f>IF(Monitorios="SI",Datos!CG13,0)</f>
        <v>#REF!</v>
      </c>
      <c r="P13" t="e">
        <f>IF(Monitorios="SI",Datos!CH13,0)</f>
        <v>#REF!</v>
      </c>
      <c r="Q13">
        <f>IF(J_V="SI",0,Datos!AG13)</f>
        <v>81</v>
      </c>
      <c r="R13">
        <f>IF(J_V="SI",0,Datos!AH13)</f>
        <v>94</v>
      </c>
      <c r="S13">
        <f>IF(J_V="SI",0,Datos!AI13)</f>
        <v>101</v>
      </c>
      <c r="T13">
        <f>IF(J_V="SI",0,Datos!AJ13)</f>
        <v>74</v>
      </c>
    </row>
    <row r="14" spans="2:20" ht="15" thickTop="1">
      <c r="B14" s="178"/>
      <c r="C14" s="70" t="str">
        <f>Datos!A14</f>
        <v xml:space="preserve">Jurisdicción Penal ( 2 ):                      </v>
      </c>
      <c r="D14" s="245"/>
      <c r="E14" s="246"/>
      <c r="F14" s="246"/>
      <c r="G14" s="246"/>
      <c r="H14" s="269"/>
      <c r="I14" s="246"/>
      <c r="J14" s="246"/>
      <c r="K14" s="287"/>
    </row>
    <row r="15" spans="2:20" ht="14.25">
      <c r="B15" s="274" t="s">
        <v>396</v>
      </c>
      <c r="C15" s="7" t="str">
        <f>Datos!A15</f>
        <v xml:space="preserve">Jdos. Instrucción                               </v>
      </c>
      <c r="D15" s="351" t="str">
        <f>IF(ISNUMBER(
   IF(D_I="SI",(Datos!I15-Datos!S15)/Datos!S15,(Datos!I15+Datos!AC15-(Datos!S15+Datos!AK15))/(Datos!S15+Datos!AK15))
     ),IF(D_I="SI",(Datos!I15-Datos!S15)/Datos!S15,(Datos!I15+Datos!AC15-(Datos!S15+Datos!AK15))/(Datos!S15+Datos!AK15))," - ")</f>
        <v xml:space="preserve"> - </v>
      </c>
      <c r="E15" s="347" t="str">
        <f>IF(ISNUMBER(
   IF(D_I="SI",(Datos!J15-Datos!T15)/Datos!T15,(Datos!J15+Datos!AD15-(Datos!T15+Datos!AL15))/(Datos!T15+Datos!AL15))
     ),IF(D_I="SI",(Datos!J15-Datos!T15)/Datos!T15,(Datos!J15+Datos!AD15-(Datos!T15+Datos!AL15))/(Datos!T15+Datos!AL15))," - ")</f>
        <v xml:space="preserve"> - </v>
      </c>
      <c r="F15" s="347" t="str">
        <f>IF(ISNUMBER(
   IF(D_I="SI",(Datos!K15-Datos!U15)/Datos!U15,(Datos!K15+Datos!AE15-(Datos!U15+Datos!AM15))/(Datos!U15+Datos!AM15))
     ),IF(D_I="SI",(Datos!K15-Datos!U15)/Datos!U15,(Datos!K15+Datos!AE15-(Datos!U15+Datos!AM15))/(Datos!U15+Datos!AM15))," - ")</f>
        <v xml:space="preserve"> - </v>
      </c>
      <c r="G15" s="348" t="str">
        <f>IF(ISNUMBER(
   IF(D_I="SI",(Datos!L15-Datos!V15)/Datos!V15,(Datos!L15+Datos!AF15-(Datos!V15+Datos!AN15))/(Datos!V15+Datos!AN15))
     ),IF(D_I="SI",(Datos!L15-Datos!V15)/Datos!V15,(Datos!L15+Datos!AF15-(Datos!V15+Datos!AN15))/(Datos!V15+Datos!AN15))," - ")</f>
        <v xml:space="preserve"> - </v>
      </c>
      <c r="H15" s="229" t="str">
        <f>IF(ISNUMBER((Datos!M15-Datos!W15)/Datos!W15),(Datos!M15-Datos!W15)/Datos!W15," - ")</f>
        <v xml:space="preserve"> - </v>
      </c>
      <c r="I15" s="349" t="str">
        <f>IF(ISNUMBER((Tasas!C15-Datos!BE15)/Datos!BE15),(Tasas!C15-Datos!BE15)/Datos!BE15," - ")</f>
        <v xml:space="preserve"> - </v>
      </c>
      <c r="J15" s="348" t="str">
        <f>IF(ISNUMBER((Tasas!D15-Datos!BF15)/Datos!BF15),(Tasas!D15-Datos!BF15)/Datos!BF15," - ")</f>
        <v xml:space="preserve"> - </v>
      </c>
      <c r="K15" s="350" t="str">
        <f>IF(ISNUMBER((Tasas!E15-Datos!BG15)/Datos!BG15),(Tasas!E15-Datos!BG15)/Datos!BG15," - ")</f>
        <v xml:space="preserve"> - </v>
      </c>
    </row>
    <row r="16" spans="2:20" ht="14.25">
      <c r="B16" s="274" t="s">
        <v>396</v>
      </c>
      <c r="C16" s="7" t="str">
        <f>Datos!A16</f>
        <v xml:space="preserve">Jdos. 1ª Instª. e Instr./Secc. Civil y de Inst. TI                      </v>
      </c>
      <c r="D16" s="351">
        <f>IF(ISNUMBER(
   IF(D_I="SI",(Datos!I16-Datos!S16)/Datos!S16,(Datos!I16+Datos!AC16-(Datos!S16+Datos!AK16))/(Datos!S16+Datos!AK16))
     ),IF(D_I="SI",(Datos!I16-Datos!S16)/Datos!S16,(Datos!I16+Datos!AC16-(Datos!S16+Datos!AK16))/(Datos!S16+Datos!AK16))," - ")</f>
        <v>2.9078665442301806E-2</v>
      </c>
      <c r="E16" s="347">
        <f>IF(ISNUMBER(
   IF(D_I="SI",(Datos!J16-Datos!T16)/Datos!T16,(Datos!J16+Datos!AD16-(Datos!T16+Datos!AL16))/(Datos!T16+Datos!AL16))
     ),IF(D_I="SI",(Datos!J16-Datos!T16)/Datos!T16,(Datos!J16+Datos!AD16-(Datos!T16+Datos!AL16))/(Datos!T16+Datos!AL16))," - ")</f>
        <v>-4.4370493621741546E-3</v>
      </c>
      <c r="F16" s="347">
        <f>IF(ISNUMBER(
   IF(D_I="SI",(Datos!K16-Datos!U16)/Datos!U16,(Datos!K16+Datos!AE16-(Datos!U16+Datos!AM16))/(Datos!U16+Datos!AM16))
     ),IF(D_I="SI",(Datos!K16-Datos!U16)/Datos!U16,(Datos!K16+Datos!AE16-(Datos!U16+Datos!AM16))/(Datos!U16+Datos!AM16))," - ")</f>
        <v>-0.12189616252821671</v>
      </c>
      <c r="G16" s="348">
        <f>IF(ISNUMBER(
   IF(D_I="SI",(Datos!L16-Datos!V16)/Datos!V16,(Datos!L16+Datos!AF16-(Datos!V16+Datos!AN16))/(Datos!V16+Datos!AN16))
     ),IF(D_I="SI",(Datos!L16-Datos!V16)/Datos!V16,(Datos!L16+Datos!AF16-(Datos!V16+Datos!AN16))/(Datos!V16+Datos!AN16))," - ")</f>
        <v>9.4864245992803409E-2</v>
      </c>
      <c r="H16" s="229">
        <f>IF(ISNUMBER((Datos!M16-Datos!W16)/Datos!W16),(Datos!M16-Datos!W16)/Datos!W16," - ")</f>
        <v>-8.1560283687943269E-2</v>
      </c>
      <c r="I16" s="349">
        <f>IF(ISNUMBER((Tasas!C16-Datos!BE16)/Datos!BE16),(Tasas!C16-Datos!BE16)/Datos!BE16," - ")</f>
        <v>0.24685054235170159</v>
      </c>
      <c r="J16" s="348">
        <f>IF(ISNUMBER((Tasas!D16-Datos!BF16)/Datos!BF16),(Tasas!D16-Datos!BF16)/Datos!BF16," - ")</f>
        <v>4.593520392349916E-2</v>
      </c>
      <c r="K16" s="350">
        <f>IF(ISNUMBER((Tasas!E16-Datos!BG16)/Datos!BG16),(Tasas!E16-Datos!BG16)/Datos!BG16," - ")</f>
        <v>0.15835931914634707</v>
      </c>
    </row>
    <row r="17" spans="2:20" ht="15" thickBot="1">
      <c r="B17" s="274" t="s">
        <v>396</v>
      </c>
      <c r="C17" s="7" t="str">
        <f>Datos!A17</f>
        <v>Jdos. Violencia contra la mujer/Secc Viol. TI.</v>
      </c>
      <c r="D17" s="351">
        <f>IF(ISNUMBER(
   IF(D_I="SI",(Datos!I17-Datos!S17)/Datos!S17,(Datos!I17+Datos!AC17-(Datos!S17+Datos!AK17))/(Datos!S17+Datos!AK17))
     ),IF(D_I="SI",(Datos!I17-Datos!S17)/Datos!S17,(Datos!I17+Datos!AC17-(Datos!S17+Datos!AK17))/(Datos!S17+Datos!AK17))," - ")</f>
        <v>-0.35897435897435898</v>
      </c>
      <c r="E17" s="347">
        <f>IF(ISNUMBER(
   IF(D_I="SI",(Datos!J17-Datos!T17)/Datos!T17,(Datos!J17+Datos!AD17-(Datos!T17+Datos!AL17))/(Datos!T17+Datos!AL17))
     ),IF(D_I="SI",(Datos!J17-Datos!T17)/Datos!T17,(Datos!J17+Datos!AD17-(Datos!T17+Datos!AL17))/(Datos!T17+Datos!AL17))," - ")</f>
        <v>-0.38372093023255816</v>
      </c>
      <c r="F17" s="347">
        <f>IF(ISNUMBER(
   IF(D_I="SI",(Datos!K17-Datos!U17)/Datos!U17,(Datos!K17+Datos!AE17-(Datos!U17+Datos!AM17))/(Datos!U17+Datos!AM17))
     ),IF(D_I="SI",(Datos!K17-Datos!U17)/Datos!U17,(Datos!K17+Datos!AE17-(Datos!U17+Datos!AM17))/(Datos!U17+Datos!AM17))," - ")</f>
        <v>-0.30890052356020942</v>
      </c>
      <c r="G17" s="348">
        <f>IF(ISNUMBER(
   IF(D_I="SI",(Datos!L17-Datos!V17)/Datos!V17,(Datos!L17+Datos!AF17-(Datos!V17+Datos!AN17))/(Datos!V17+Datos!AN17))
     ),IF(D_I="SI",(Datos!L17-Datos!V17)/Datos!V17,(Datos!L17+Datos!AF17-(Datos!V17+Datos!AN17))/(Datos!V17+Datos!AN17))," - ")</f>
        <v>-0.50505050505050508</v>
      </c>
      <c r="H17" s="229">
        <f>IF(ISNUMBER((Datos!M17-Datos!W17)/Datos!W17),(Datos!M17-Datos!W17)/Datos!W17," - ")</f>
        <v>0.2857142857142857</v>
      </c>
      <c r="I17" s="349">
        <f>IF(ISNUMBER((Tasas!C17-Datos!BE17)/Datos!BE17),(Tasas!C17-Datos!BE17)/Datos!BE17," - ")</f>
        <v>-0.28382307927762479</v>
      </c>
      <c r="J17" s="348">
        <f>IF(ISNUMBER((Tasas!D17-Datos!BF17)/Datos!BF17),(Tasas!D17-Datos!BF17)/Datos!BF17," - ")</f>
        <v>0.86038961038961037</v>
      </c>
      <c r="K17" s="350">
        <f>IF(ISNUMBER((Tasas!E17-Datos!BG17)/Datos!BG17),(Tasas!E17-Datos!BG17)/Datos!BG17," - ")</f>
        <v>-9.3766383558771163E-2</v>
      </c>
    </row>
    <row r="18" spans="2:20" ht="16.5" hidden="1" thickTop="1" thickBot="1">
      <c r="B18" s="177"/>
      <c r="C18" s="72" t="str">
        <f>Datos!A18</f>
        <v>TOTAL</v>
      </c>
      <c r="D18" s="352">
        <f>IF(ISNUMBER(
   IF(D_I="SI",(Datos!I18-Datos!S18)/Datos!S18,(Datos!I18+Datos!AC18-(Datos!S18+Datos!AK18))/(Datos!S18+Datos!AK18))
     ),IF(D_I="SI",(Datos!I18-Datos!S18)/Datos!S18,(Datos!I18+Datos!AC18-(Datos!S18+Datos!AK18))/(Datos!S18+Datos!AK18))," - ")</f>
        <v>1.5661938534278958E-2</v>
      </c>
      <c r="E18" s="353">
        <f>IF(ISNUMBER(
   IF(D_I="SI",(Datos!J18-Datos!T18)/Datos!T18,(Datos!J18+Datos!AD18-(Datos!T18+Datos!AL18))/(Datos!T18+Datos!AL18))
     ),IF(D_I="SI",(Datos!J18-Datos!T18)/Datos!T18,(Datos!J18+Datos!AD18-(Datos!T18+Datos!AL18))/(Datos!T18+Datos!AL18))," - ")</f>
        <v>-3.7468354430379748E-2</v>
      </c>
      <c r="F18" s="353">
        <f>IF(ISNUMBER(
   IF(D_I="SI",(Datos!K18-Datos!U18)/Datos!U18,(Datos!K18+Datos!AE18-(Datos!U18+Datos!AM18))/(Datos!U18+Datos!AM18))
     ),IF(D_I="SI",(Datos!K18-Datos!U18)/Datos!U18,(Datos!K18+Datos!AE18-(Datos!U18+Datos!AM18))/(Datos!U18+Datos!AM18))," - ")</f>
        <v>-0.14009169638308711</v>
      </c>
      <c r="G18" s="354">
        <f>IF(ISNUMBER(
   IF(D_I="SI",(Datos!L18-Datos!V18)/Datos!V18,(Datos!L18+Datos!AF18-(Datos!V18+Datos!AN18))/(Datos!V18+Datos!AN18))
     ),IF(D_I="SI",(Datos!L18-Datos!V18)/Datos!V18,(Datos!L18+Datos!AF18-(Datos!V18+Datos!AN18))/(Datos!V18+Datos!AN18))," - ")</f>
        <v>7.6045627376425853E-2</v>
      </c>
      <c r="H18" s="355">
        <f>IF(ISNUMBER((Datos!M18-Datos!W18)/Datos!W18),(Datos!M18-Datos!W18)/Datos!W18," - ")</f>
        <v>-6.4189189189189186E-2</v>
      </c>
      <c r="I18" s="356">
        <f>IF(ISNUMBER((Tasas!C18-Datos!BE18)/Datos!BE18),(Tasas!C18-Datos!BE18)/Datos!BE18," - ")</f>
        <v>0.25134926927720613</v>
      </c>
      <c r="J18" s="354">
        <f>IF(ISNUMBER((Tasas!D18-Datos!BF18)/Datos!BF18),(Tasas!D18-Datos!BF18)/Datos!BF18," - ")</f>
        <v>8.8268140771102829E-2</v>
      </c>
      <c r="K18" s="357">
        <f>IF(ISNUMBER((Tasas!E18-Datos!BG18)/Datos!BG18),(Tasas!E18-Datos!BG18)/Datos!BG18," - ")</f>
        <v>0.15835764612659403</v>
      </c>
      <c r="M18" t="e">
        <f>IF(Monitorios="SI",Datos!CE18,0)</f>
        <v>#REF!</v>
      </c>
      <c r="N18" t="e">
        <f>IF(Monitorios="SI",Datos!CF18,0)</f>
        <v>#REF!</v>
      </c>
      <c r="O18" t="e">
        <f>IF(Monitorios="SI",Datos!CG18,0)</f>
        <v>#REF!</v>
      </c>
      <c r="P18" t="e">
        <f>IF(Monitorios="SI",Datos!CH18,0)</f>
        <v>#REF!</v>
      </c>
      <c r="Q18">
        <f>IF(J_V="SI",0,Datos!AG18)</f>
        <v>0</v>
      </c>
      <c r="R18">
        <f>IF(J_V="SI",0,Datos!AH18)</f>
        <v>0</v>
      </c>
      <c r="S18">
        <f>IF(J_V="SI",0,Datos!AI18)</f>
        <v>0</v>
      </c>
      <c r="T18">
        <f>IF(J_V="SI",0,Datos!AJ18)</f>
        <v>0</v>
      </c>
    </row>
    <row r="19" spans="2:20" ht="15.75" hidden="1" customHeight="1" thickBot="1">
      <c r="B19" s="171"/>
      <c r="C19" s="171" t="str">
        <f>Datos!A19</f>
        <v>TOTAL JURISDICCIONES</v>
      </c>
      <c r="D19" s="361">
        <f>IF(ISNUMBER(
   IF(J_V="SI",(Datos!I19-Datos!S19)/Datos!S19,(Datos!I19+Datos!Y19-(Datos!S19+Datos!AG19))/(Datos!S19+Datos!AG19))
     ),IF(J_V="SI",(Datos!I19-Datos!S19)/Datos!S19,(Datos!I19+Datos!Y19-(Datos!S19+Datos!AG19))/(Datos!S19+Datos!AG19))," - ")</f>
        <v>4.2498517493575805E-2</v>
      </c>
      <c r="E19" s="362">
        <f>IF(ISNUMBER(
   IF(J_V="SI",(Datos!J19-Datos!T19)/Datos!T19,(Datos!J19+Datos!Z19-(Datos!T19+Datos!AH19))/(Datos!T19+Datos!AH19))
     ),IF(J_V="SI",(Datos!J19-Datos!T19)/Datos!T19,(Datos!J19+Datos!Z19-(Datos!T19+Datos!AH19))/(Datos!T19+Datos!AH19))," - ")</f>
        <v>-5.0751879699248117E-2</v>
      </c>
      <c r="F19" s="362">
        <f>IF(ISNUMBER(
   IF(J_V="SI",(Datos!K19-Datos!U19)/Datos!U19,(Datos!K19+Datos!AA19-(Datos!U19+Datos!AI19))/(Datos!U19+Datos!AI19))
     ),IF(J_V="SI",(Datos!K19-Datos!U19)/Datos!U19,(Datos!K19+Datos!AA19-(Datos!U19+Datos!AI19))/(Datos!U19+Datos!AI19))," - ")</f>
        <v>0.18604004449388209</v>
      </c>
      <c r="G19" s="363">
        <f>IF(ISNUMBER(
   IF(J_V="SI",(Datos!L19-Datos!V19)/Datos!V19,(Datos!L19+Datos!AB19-(Datos!V19+Datos!AJ19))/(Datos!V19+Datos!AJ19))
     ),IF(J_V="SI",(Datos!L19-Datos!V19)/Datos!V19,(Datos!L19+Datos!AB19-(Datos!V19+Datos!AJ19))/(Datos!V19+Datos!AJ19))," - ")</f>
        <v>-4.2450941129355227E-2</v>
      </c>
      <c r="H19" s="364">
        <f>IF(ISNUMBER((Datos!M19-Datos!W19)/Datos!W19),(Datos!M19-Datos!W19)/Datos!W19," - ")</f>
        <v>3.4139402560455195E-2</v>
      </c>
      <c r="I19" s="361">
        <f>IF(ISNUMBER((Tasas!C19-Datos!BE19)/Datos!BE19),(Tasas!C19-Datos!BE19)/Datos!BE19," - ")</f>
        <v>-0.19265031284904141</v>
      </c>
      <c r="J19" s="362">
        <f>IF(ISNUMBER((Tasas!D19-Datos!BF19)/Datos!BF19),(Tasas!D19-Datos!BF19)/Datos!BF19," - ")</f>
        <v>-0.36807821998767243</v>
      </c>
      <c r="K19" s="363">
        <f>IF(ISNUMBER((Tasas!E19-Datos!BG19)/Datos!BG19),(Tasas!E19-Datos!BG19)/Datos!BG19," - ")</f>
        <v>-0.14217839143588851</v>
      </c>
    </row>
    <row r="20" spans="2:20" ht="15.75" customHeight="1" thickTop="1" thickBot="1">
      <c r="B20" s="166"/>
      <c r="C20" s="811" t="s">
        <v>264</v>
      </c>
      <c r="D20" s="812">
        <f t="shared" ref="D20:K20" ca="1" si="0">IF(ISNUMBER(SUMIF($B8:$B18,$B20,D8:D18)/INDIRECT("Datos!AP"&amp;ROW()-1)),SUMIF($B8:$B18,$B20,D8:D18)/INDIRECT("Datos!AP"&amp;ROW()-1),"-")</f>
        <v>0</v>
      </c>
      <c r="E20" s="813">
        <f t="shared" ca="1" si="0"/>
        <v>0</v>
      </c>
      <c r="F20" s="813">
        <f t="shared" ca="1" si="0"/>
        <v>0</v>
      </c>
      <c r="G20" s="814">
        <f t="shared" ca="1" si="0"/>
        <v>0</v>
      </c>
      <c r="H20" s="815">
        <f t="shared" ca="1" si="0"/>
        <v>0</v>
      </c>
      <c r="I20" s="812">
        <f t="shared" ca="1" si="0"/>
        <v>0</v>
      </c>
      <c r="J20" s="813">
        <f t="shared" ca="1" si="0"/>
        <v>0</v>
      </c>
      <c r="K20" s="814">
        <f t="shared" ca="1" si="0"/>
        <v>0</v>
      </c>
    </row>
    <row r="21" spans="2:20" ht="15.75" hidden="1" customHeight="1" thickTop="1" thickBot="1">
      <c r="B21" s="167"/>
      <c r="C21" s="167" t="s">
        <v>265</v>
      </c>
      <c r="D21" s="276">
        <f t="shared" ref="D21:K21" si="1">IF(ISNUMBER( STDEV(D8:D18)),STDEV(D8:D18)," - ")</f>
        <v>0.18882727102424327</v>
      </c>
      <c r="E21" s="277">
        <f t="shared" si="1"/>
        <v>0.18253678049341823</v>
      </c>
      <c r="F21" s="277">
        <f t="shared" si="1"/>
        <v>0.20833666483472846</v>
      </c>
      <c r="G21" s="278">
        <f t="shared" si="1"/>
        <v>0.30863421743241459</v>
      </c>
      <c r="H21" s="284">
        <f t="shared" si="1"/>
        <v>0.19499700984254592</v>
      </c>
      <c r="I21" s="276">
        <f t="shared" si="1"/>
        <v>0.80849368221516715</v>
      </c>
      <c r="J21" s="277">
        <f t="shared" si="1"/>
        <v>0.61013890845506857</v>
      </c>
      <c r="K21" s="278">
        <f t="shared" si="1"/>
        <v>0.60251848195661251</v>
      </c>
    </row>
    <row r="22" spans="2:20" ht="13.5" thickTop="1">
      <c r="C22" s="1307"/>
      <c r="D22" s="1307"/>
      <c r="E22" s="71"/>
      <c r="F22" s="71"/>
      <c r="G22" s="71"/>
    </row>
    <row r="23" spans="2:20">
      <c r="C23" s="292"/>
      <c r="D23" s="275"/>
      <c r="E23" s="275"/>
      <c r="F23" s="275"/>
      <c r="G23" s="275"/>
      <c r="H23" s="275"/>
      <c r="I23" s="294"/>
      <c r="J23" s="294"/>
      <c r="K23" s="294"/>
    </row>
    <row r="24" spans="2:20">
      <c r="C24" s="293"/>
      <c r="D24" s="275"/>
      <c r="E24" s="275"/>
      <c r="F24" s="275"/>
      <c r="G24" s="275"/>
      <c r="H24" s="275"/>
      <c r="I24" s="294"/>
      <c r="J24" s="294"/>
      <c r="K24" s="294"/>
    </row>
    <row r="25" spans="2:20" hidden="1">
      <c r="C25" s="7" t="s">
        <v>262</v>
      </c>
      <c r="D25" s="163">
        <f>D23+2*D24</f>
        <v>0</v>
      </c>
      <c r="E25" s="164">
        <f t="shared" ref="E25:K25" si="2">E23+2*E24</f>
        <v>0</v>
      </c>
      <c r="F25" s="164">
        <f t="shared" si="2"/>
        <v>0</v>
      </c>
      <c r="G25" s="164">
        <f t="shared" si="2"/>
        <v>0</v>
      </c>
      <c r="H25" s="270">
        <f t="shared" si="2"/>
        <v>0</v>
      </c>
      <c r="I25" s="164">
        <f t="shared" si="2"/>
        <v>0</v>
      </c>
      <c r="J25" s="149">
        <f t="shared" si="2"/>
        <v>0</v>
      </c>
      <c r="K25" s="165">
        <f t="shared" si="2"/>
        <v>0</v>
      </c>
    </row>
    <row r="26" spans="2:20" hidden="1">
      <c r="C26" s="7" t="s">
        <v>263</v>
      </c>
      <c r="D26" s="163">
        <f>MIN(0,D23-2*D24)</f>
        <v>0</v>
      </c>
      <c r="E26" s="164">
        <f t="shared" ref="E26:K26" si="3">MIN(0,E23-2*E24)</f>
        <v>0</v>
      </c>
      <c r="F26" s="164">
        <f t="shared" si="3"/>
        <v>0</v>
      </c>
      <c r="G26" s="164">
        <f t="shared" si="3"/>
        <v>0</v>
      </c>
      <c r="H26" s="164">
        <f t="shared" si="3"/>
        <v>0</v>
      </c>
      <c r="I26" s="164">
        <f t="shared" si="3"/>
        <v>0</v>
      </c>
      <c r="J26" s="149">
        <f t="shared" si="3"/>
        <v>0</v>
      </c>
      <c r="K26" s="165">
        <f t="shared" si="3"/>
        <v>0</v>
      </c>
    </row>
    <row r="30" spans="2:20" ht="12.75" customHeight="1">
      <c r="C30" s="120" t="str">
        <f>Criterios!A4</f>
        <v>Fecha Informe: 17 mar. 2026</v>
      </c>
      <c r="D30" s="145"/>
      <c r="E30" s="145"/>
      <c r="F30" s="145"/>
      <c r="G30" s="145"/>
      <c r="H30" s="145"/>
      <c r="I30" s="145"/>
      <c r="J30" s="145"/>
      <c r="K30" s="145"/>
      <c r="L30" s="145"/>
      <c r="M30" s="145"/>
    </row>
    <row r="31" spans="2:20" ht="12.75" customHeight="1">
      <c r="C31" s="145"/>
      <c r="D31" s="145"/>
      <c r="E31" s="145"/>
      <c r="F31" s="145"/>
      <c r="G31" s="145"/>
      <c r="H31" s="145"/>
      <c r="I31" s="145"/>
      <c r="J31" s="145"/>
      <c r="K31" s="145"/>
      <c r="L31" s="145"/>
      <c r="M31" s="145"/>
    </row>
    <row r="32" spans="2:20" ht="12.75" customHeight="1">
      <c r="C32" s="145"/>
      <c r="D32" s="145"/>
      <c r="E32" s="145"/>
      <c r="F32" s="145"/>
      <c r="G32" s="145"/>
      <c r="H32" s="145"/>
      <c r="I32" s="145"/>
      <c r="J32" s="145"/>
      <c r="K32" s="145"/>
      <c r="L32" s="145"/>
      <c r="M32" s="145"/>
    </row>
    <row r="33" spans="3:13" ht="12.75" customHeight="1">
      <c r="C33" s="145"/>
      <c r="D33" s="145"/>
      <c r="E33" s="145"/>
      <c r="F33" s="145"/>
      <c r="G33" s="145"/>
      <c r="H33" s="145"/>
      <c r="I33" s="145"/>
      <c r="J33" s="145"/>
      <c r="K33" s="145"/>
      <c r="L33" s="145"/>
      <c r="M33" s="145"/>
    </row>
  </sheetData>
  <sheetProtection algorithmName="SHA-512" hashValue="P8XfegjhubRhs3WBXwGbNYrrdrzfVV7UTXkp3l0C8u9KOMAwsRAWCpyYDgDq8XjKVl6Fp4JxLjdyWCpGEAk9aw==" saltValue="lgXPq2LQeAQD2P/zQqVCGA==" spinCount="100000" sheet="1" objects="1" scenarios="1"/>
  <mergeCells count="18">
    <mergeCell ref="J5:J7"/>
    <mergeCell ref="K5:K7"/>
    <mergeCell ref="C22:D22"/>
    <mergeCell ref="C5:C6"/>
    <mergeCell ref="H5:H7"/>
    <mergeCell ref="G5:G7"/>
    <mergeCell ref="F5:F7"/>
    <mergeCell ref="E5:E7"/>
    <mergeCell ref="D5:D7"/>
    <mergeCell ref="I5:I7"/>
    <mergeCell ref="R6:R7"/>
    <mergeCell ref="S6:S7"/>
    <mergeCell ref="T6:T7"/>
    <mergeCell ref="M6:M7"/>
    <mergeCell ref="Q6:Q7"/>
    <mergeCell ref="N6:N7"/>
    <mergeCell ref="O6:O7"/>
    <mergeCell ref="P6:P7"/>
  </mergeCells>
  <phoneticPr fontId="0" type="noConversion"/>
  <printOptions horizontalCentered="1"/>
  <pageMargins left="0.39370078740157483" right="0.39370078740157483" top="0.87" bottom="0.39370078740157483" header="0.19685039370078741" footer="0"/>
  <pageSetup paperSize="9" scale="60" orientation="landscape" r:id="rId1"/>
  <headerFooter alignWithMargins="0">
    <oddHeader>&amp;L&amp;G
&amp;"Trebuchet MS,Negrita"&amp;16Evolución</oddHeader>
    <oddFooter>&amp;CPágina &amp;P de &amp;N</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indexed="48"/>
    <pageSetUpPr fitToPage="1"/>
  </sheetPr>
  <dimension ref="A1:BZ39"/>
  <sheetViews>
    <sheetView zoomScale="82" zoomScaleNormal="82" workbookViewId="0">
      <selection activeCell="B1" sqref="B1"/>
    </sheetView>
  </sheetViews>
  <sheetFormatPr baseColWidth="10" defaultColWidth="11.42578125" defaultRowHeight="12.75"/>
  <cols>
    <col min="1" max="1" width="9.42578125" style="1026" customWidth="1"/>
    <col min="2" max="2" width="41.42578125" style="470" customWidth="1"/>
    <col min="3" max="3" width="18.85546875" style="1025" hidden="1" customWidth="1"/>
    <col min="4" max="4" width="13.5703125" style="1025" hidden="1" customWidth="1"/>
    <col min="5" max="5" width="13.42578125" style="1025" hidden="1" customWidth="1"/>
    <col min="6" max="7" width="12" style="1025" hidden="1" customWidth="1"/>
    <col min="8" max="8" width="12.5703125" style="1025" hidden="1" customWidth="1"/>
    <col min="9" max="9" width="13.42578125" style="1025" hidden="1" customWidth="1"/>
    <col min="10" max="10" width="13" style="1025" hidden="1" customWidth="1"/>
    <col min="11" max="13" width="14.5703125" style="1025" hidden="1" customWidth="1"/>
    <col min="14" max="15" width="14.28515625" style="1025" customWidth="1"/>
    <col min="16" max="16" width="12.28515625" style="1025" hidden="1" customWidth="1"/>
    <col min="17" max="17" width="14.28515625" style="1025" customWidth="1"/>
    <col min="18" max="18" width="0" style="1025" hidden="1" customWidth="1"/>
    <col min="19" max="23" width="14.28515625" style="1025" customWidth="1"/>
    <col min="24" max="24" width="12.7109375" style="1025" customWidth="1"/>
    <col min="25" max="25" width="13" style="1025" customWidth="1"/>
    <col min="26" max="27" width="12.5703125" style="1025" customWidth="1"/>
    <col min="28" max="28" width="12.7109375" style="1025" customWidth="1"/>
    <col min="29" max="30" width="13" style="1025" customWidth="1"/>
    <col min="31" max="31" width="11.42578125" style="1025" hidden="1" customWidth="1"/>
    <col min="32" max="35" width="11.42578125" style="1025"/>
    <col min="36" max="77" width="11.42578125" style="1025" customWidth="1"/>
    <col min="78" max="78" width="0" style="1025" hidden="1" customWidth="1"/>
    <col min="79" max="16384" width="11.42578125" style="1025"/>
  </cols>
  <sheetData>
    <row r="1" spans="1:78" ht="108" customHeight="1">
      <c r="A1" s="1025"/>
    </row>
    <row r="2" spans="1:78">
      <c r="B2" s="493"/>
      <c r="E2" s="1027"/>
    </row>
    <row r="3" spans="1:78" s="470" customFormat="1" ht="13.5" thickBot="1">
      <c r="A3" s="486"/>
      <c r="B3" s="487" t="s">
        <v>355</v>
      </c>
      <c r="E3" s="493"/>
    </row>
    <row r="4" spans="1:78" s="470" customFormat="1" ht="15.75" thickBot="1">
      <c r="A4" s="1084" t="s">
        <v>360</v>
      </c>
      <c r="B4" s="1095" t="str">
        <f>Criterios!B9</f>
        <v>CATALUÑA</v>
      </c>
      <c r="C4" s="1085"/>
      <c r="D4" s="1085"/>
      <c r="E4" s="1086"/>
      <c r="F4" s="1085"/>
      <c r="G4" s="542"/>
      <c r="H4" s="1337" t="s">
        <v>361</v>
      </c>
      <c r="I4" s="1338"/>
      <c r="J4" s="1338"/>
      <c r="K4" s="1338"/>
      <c r="L4" s="1338"/>
      <c r="M4" s="1087"/>
      <c r="N4" s="1337" t="s">
        <v>362</v>
      </c>
      <c r="O4" s="1338"/>
      <c r="P4" s="1338"/>
      <c r="Q4" s="1338"/>
      <c r="R4" s="1338"/>
      <c r="S4" s="1338"/>
      <c r="T4" s="1338"/>
      <c r="U4" s="1338"/>
      <c r="V4" s="1338"/>
      <c r="W4" s="1338"/>
      <c r="X4" s="1338"/>
      <c r="Y4" s="1338"/>
      <c r="Z4" s="1338"/>
      <c r="AA4" s="1338"/>
      <c r="AB4" s="1338"/>
      <c r="AC4" s="1338"/>
      <c r="AD4" s="1339"/>
    </row>
    <row r="5" spans="1:78" s="470" customFormat="1" ht="15.75" customHeight="1">
      <c r="A5" s="1345" t="s">
        <v>351</v>
      </c>
      <c r="B5" s="1347" t="str">
        <f>"Año:  " &amp;Criterios!B5 &amp; "      Trimestre   " &amp;Criterios!D5 &amp; " al " &amp;Criterios!D6</f>
        <v>Año:  2025      Trimestre   4 al 4</v>
      </c>
      <c r="C5" s="1351" t="s">
        <v>261</v>
      </c>
      <c r="D5" s="1353" t="s">
        <v>128</v>
      </c>
      <c r="E5" s="1353" t="s">
        <v>92</v>
      </c>
      <c r="F5" s="1355" t="s">
        <v>9</v>
      </c>
      <c r="G5" s="1343"/>
      <c r="H5" s="1340" t="s">
        <v>356</v>
      </c>
      <c r="I5" s="1357" t="s">
        <v>358</v>
      </c>
      <c r="J5" s="1340" t="s">
        <v>357</v>
      </c>
      <c r="K5" s="1342" t="s">
        <v>302</v>
      </c>
      <c r="L5" s="1342" t="s">
        <v>359</v>
      </c>
      <c r="M5" s="1342" t="s">
        <v>353</v>
      </c>
      <c r="N5" s="1327"/>
      <c r="O5" s="1328"/>
      <c r="Q5" s="1331" t="s">
        <v>452</v>
      </c>
      <c r="R5" s="1332"/>
      <c r="S5" s="1333"/>
      <c r="T5" s="1331"/>
      <c r="U5" s="1332"/>
      <c r="V5" s="1333"/>
      <c r="W5" s="1331" t="s">
        <v>272</v>
      </c>
      <c r="X5" s="1332"/>
      <c r="Y5" s="1332"/>
      <c r="Z5" s="1333"/>
      <c r="AA5" s="1331" t="s">
        <v>447</v>
      </c>
      <c r="AB5" s="1332"/>
      <c r="AC5" s="1332"/>
      <c r="AD5" s="1333"/>
    </row>
    <row r="6" spans="1:78" s="470" customFormat="1" ht="21.75" customHeight="1" thickBot="1">
      <c r="A6" s="1346"/>
      <c r="B6" s="1348"/>
      <c r="C6" s="1352"/>
      <c r="D6" s="1354"/>
      <c r="E6" s="1354"/>
      <c r="F6" s="1356"/>
      <c r="G6" s="1343"/>
      <c r="H6" s="1341"/>
      <c r="I6" s="1358"/>
      <c r="J6" s="1341"/>
      <c r="K6" s="1343"/>
      <c r="L6" s="1343"/>
      <c r="M6" s="1343"/>
      <c r="N6" s="1329"/>
      <c r="O6" s="1330"/>
      <c r="P6" s="1088"/>
      <c r="Q6" s="1334"/>
      <c r="R6" s="1335"/>
      <c r="S6" s="1336"/>
      <c r="T6" s="1334"/>
      <c r="U6" s="1335"/>
      <c r="V6" s="1336"/>
      <c r="W6" s="1334"/>
      <c r="X6" s="1335"/>
      <c r="Y6" s="1335"/>
      <c r="Z6" s="1336"/>
      <c r="AA6" s="1334"/>
      <c r="AB6" s="1335"/>
      <c r="AC6" s="1335"/>
      <c r="AD6" s="1336"/>
    </row>
    <row r="7" spans="1:78" s="470" customFormat="1" ht="84" customHeight="1">
      <c r="A7" s="1346"/>
      <c r="B7" s="1089" t="str">
        <f>Datos!A7</f>
        <v>COMPETENCIAS</v>
      </c>
      <c r="C7" s="1352"/>
      <c r="D7" s="1354"/>
      <c r="E7" s="1354"/>
      <c r="F7" s="1356"/>
      <c r="G7" s="1343"/>
      <c r="H7" s="1341"/>
      <c r="I7" s="1358"/>
      <c r="J7" s="1341"/>
      <c r="K7" s="1343"/>
      <c r="L7" s="1343"/>
      <c r="M7" s="1344"/>
      <c r="N7" s="1090" t="s">
        <v>229</v>
      </c>
      <c r="O7" s="1090" t="s">
        <v>393</v>
      </c>
      <c r="P7" s="1091" t="s">
        <v>394</v>
      </c>
      <c r="Q7" s="1092" t="s">
        <v>395</v>
      </c>
      <c r="R7" s="1091" t="s">
        <v>386</v>
      </c>
      <c r="S7" s="1092" t="s">
        <v>817</v>
      </c>
      <c r="T7" s="1144" t="s">
        <v>818</v>
      </c>
      <c r="U7" s="1144" t="s">
        <v>819</v>
      </c>
      <c r="V7" s="1144" t="s">
        <v>820</v>
      </c>
      <c r="W7" s="1090" t="s">
        <v>448</v>
      </c>
      <c r="X7" s="1158" t="s">
        <v>834</v>
      </c>
      <c r="Y7" s="1158" t="s">
        <v>835</v>
      </c>
      <c r="Z7" s="1159" t="s">
        <v>836</v>
      </c>
      <c r="AA7" s="1093" t="s">
        <v>448</v>
      </c>
      <c r="AB7" s="1158" t="s">
        <v>449</v>
      </c>
      <c r="AC7" s="1158" t="s">
        <v>837</v>
      </c>
      <c r="AD7" s="1159" t="s">
        <v>838</v>
      </c>
      <c r="AE7" s="1094" t="s">
        <v>815</v>
      </c>
    </row>
    <row r="8" spans="1:78" ht="15">
      <c r="A8" s="1349" t="str">
        <f>Datos!A8</f>
        <v>Jurisdicción Civil ( 1 ):</v>
      </c>
      <c r="B8" s="1350"/>
      <c r="C8" s="1032"/>
      <c r="D8" s="1032"/>
      <c r="E8" s="1033"/>
      <c r="F8" s="1033"/>
      <c r="G8" s="1033"/>
      <c r="H8" s="1034"/>
      <c r="I8" s="1032"/>
      <c r="J8" s="1034"/>
      <c r="K8" s="1035"/>
      <c r="L8" s="1035"/>
      <c r="M8" s="265"/>
      <c r="N8" s="1035"/>
      <c r="O8" s="1035"/>
      <c r="P8" s="1036"/>
      <c r="Q8" s="1037"/>
      <c r="R8" s="1036"/>
      <c r="S8" s="1037"/>
      <c r="T8" s="1038"/>
      <c r="U8" s="1038"/>
      <c r="V8" s="1040"/>
      <c r="W8" s="1038"/>
      <c r="X8" s="1039"/>
      <c r="Y8" s="1039"/>
      <c r="Z8" s="1040"/>
      <c r="AA8" s="1041"/>
      <c r="AB8" s="1039"/>
      <c r="AC8" s="1039"/>
      <c r="AD8" s="1039"/>
      <c r="AE8" s="1040"/>
    </row>
    <row r="9" spans="1:78" ht="15">
      <c r="A9" s="1042">
        <f>ABS(Datos!AO9)</f>
        <v>0</v>
      </c>
      <c r="B9" s="501" t="str">
        <f>Datos!A9</f>
        <v xml:space="preserve">Jdos. 1ª Instancia   </v>
      </c>
      <c r="C9" s="224" t="str">
        <f t="shared" ref="C9:C12" si="0">IF(ISNUMBER(H9-E9+F9),H9-E9+F9," - ")</f>
        <v xml:space="preserve"> - </v>
      </c>
      <c r="D9" s="224" t="str">
        <f>IF(ISNUMBER(IF(J_V="SI",Datos!I9,Datos!I9+Datos!Y9)-IF(Monitorios="SI",Datos!CA9,0)),
                          IF(J_V="SI",Datos!I9,Datos!I9+Datos!Y9)-IF(Monitorios="SI",Datos!CA9,0),
                          " - ")</f>
        <v xml:space="preserve"> - </v>
      </c>
      <c r="E9" s="225" t="str">
        <f>IF(ISNUMBER(IF(J_V="SI",Datos!J9,Datos!J9+Datos!Z9)-IF(Monitorios="SI",Datos!CB9,0)),
                          IF(J_V="SI",Datos!J9,Datos!J9+Datos!Z9)-IF(Monitorios="SI",Datos!CB9,0),
                          " - ")</f>
        <v xml:space="preserve"> - </v>
      </c>
      <c r="F9" s="225" t="str">
        <f>IF(ISNUMBER(IF(J_V="SI",Datos!K9,Datos!K9+Datos!AA9)-IF(Monitorios="SI",Datos!CC9,0)),
                          IF(J_V="SI",Datos!K9,Datos!K9+Datos!AA9)-IF(Monitorios="SI",Datos!CC9,0),
                          " - ")</f>
        <v xml:space="preserve"> - </v>
      </c>
      <c r="G9" s="1033" t="str">
        <f>IF(Datos!E9&lt;&gt;"",Datos!E9,Datos!D9)</f>
        <v>01</v>
      </c>
      <c r="H9" s="226" t="str">
        <f>IF(ISNUMBER(IF(J_V="SI",Datos!L9,Datos!L9+Datos!AB9)-IF(Monitorios="SI",Datos!CD9,0)),
                          IF(J_V="SI",Datos!L9,Datos!L9+Datos!AB9)-IF(Monitorios="SI",Datos!CD9,0),
                          " - ")</f>
        <v xml:space="preserve"> - </v>
      </c>
      <c r="I9" s="1043" t="str">
        <f>IF(ISNUMBER(Datos!AS9/Datos!BM9),Datos!AS9/Datos!BM9," - ")</f>
        <v xml:space="preserve"> - </v>
      </c>
      <c r="J9" s="1044">
        <f>IF(ISNUMBER(Datos!BY9/Datos!CN9),Datos!BY9/Datos!CN9," - ")</f>
        <v>0</v>
      </c>
      <c r="K9" s="229" t="str">
        <f>IF(ISNUMBER((E9-F9)/C9),(E9-F9)/C9," - ")</f>
        <v xml:space="preserve"> - </v>
      </c>
      <c r="L9" s="1024" t="str">
        <f>IF(ISNUMBER(NºAsuntos!I9/NºAsuntos!G9),(NºAsuntos!I9/NºAsuntos!G9)*11," - ")</f>
        <v xml:space="preserve"> - </v>
      </c>
      <c r="M9" s="227" t="str">
        <f>IF(ISNUMBER(Datos!CL9),Datos!CL9," - ")</f>
        <v xml:space="preserve"> - </v>
      </c>
      <c r="N9" s="479">
        <f>Datos!CU9</f>
        <v>0</v>
      </c>
      <c r="O9" s="1034">
        <f>Datos!CT9</f>
        <v>0</v>
      </c>
      <c r="P9" s="1045" t="str">
        <f>IF(ISNUMBER((Datos!AS9/Datos!AQ9)),(Datos!AS9/Datos!AQ9)," - ")</f>
        <v xml:space="preserve"> - </v>
      </c>
      <c r="Q9" s="244">
        <f>IF(ISNUMBER(Datos!CQ9+Datos!CR9),Datos!CQ9+Datos!CR9*0.86," - ")</f>
        <v>0</v>
      </c>
      <c r="R9" s="242" t="str">
        <f>IF(ISNUMBER((P9/Datos!CO9)*factor_trimestre),(P9/Datos!CO9)*factor_trimestre," - ")</f>
        <v xml:space="preserve"> - </v>
      </c>
      <c r="S9" s="350">
        <f>IF(ISNUMBER((Q9/Datos!CP9)*factor_trimestre),(Q9/Datos!CP9)*factor_trimestre," - ")</f>
        <v>0</v>
      </c>
      <c r="T9" s="478">
        <f>Datos!ET9</f>
        <v>0</v>
      </c>
      <c r="U9" s="1149"/>
      <c r="V9" s="1153" t="str">
        <f>IF(U9="",IF(ISNUMBER(IF(ISNUMBER(S9),S9,0)/((Datos!EU9-Datos!ET9)/Datos!EU9)),IF(ISNUMBER(S9),S9,0)/((Datos!EU9-Datos!ET9)/Datos!EU9)," - "),IF(ISNUMBER(IF(ISNUMBER(S9),S9,0)/((Datos!EU9-U9)/Datos!EU9)),IF(ISNUMBER(S9),S9,0)/((Datos!EU9-U9)/Datos!EU9)))</f>
        <v xml:space="preserve"> - </v>
      </c>
      <c r="W9" s="478" t="str">
        <f>IF(ISNUMBER(Datos!CV9),Datos!CV9," - ")</f>
        <v xml:space="preserve"> - </v>
      </c>
      <c r="X9" s="478" t="str">
        <f>IF(ISNUMBER(Datos!DH9),Datos!DH9," - ")</f>
        <v xml:space="preserve"> - </v>
      </c>
      <c r="Y9" s="478" t="str">
        <f>IF(ISNUMBER(Datos!DI9),Datos!DI9," - ")</f>
        <v xml:space="preserve"> - </v>
      </c>
      <c r="Z9" s="334" t="str">
        <f>IF(ISNUMBER(Datos!DJ9),Datos!DJ9," - ")</f>
        <v xml:space="preserve"> - </v>
      </c>
      <c r="AA9" s="483" t="str">
        <f>IF(ISNUMBER(Datos!DG9),Datos!DG9," - ")</f>
        <v xml:space="preserve"> - </v>
      </c>
      <c r="AB9" s="333" t="str">
        <f>IF(ISNUMBER(Datos!CY9),Datos!CY9," - ")</f>
        <v xml:space="preserve"> - </v>
      </c>
      <c r="AC9" s="333" t="str">
        <f>IF(ISNUMBER(Datos!CZ9),Datos!CZ9," - ")</f>
        <v xml:space="preserve"> - </v>
      </c>
      <c r="AD9" s="333" t="str">
        <f>IF(ISNUMBER(Datos!DA9),Datos!DA9," - ")</f>
        <v xml:space="preserve"> - </v>
      </c>
      <c r="AE9" s="1145">
        <v>0</v>
      </c>
      <c r="BZ9" s="1185">
        <f>Datos!EZ9</f>
        <v>0</v>
      </c>
    </row>
    <row r="10" spans="1:78" ht="15">
      <c r="A10" s="1042">
        <f>ABS(Datos!AO10)</f>
        <v>1</v>
      </c>
      <c r="B10" s="501" t="str">
        <f>Datos!A10</f>
        <v>Jdos. Violencia contra la mujer/Secc Viol. TI.</v>
      </c>
      <c r="C10" s="224">
        <f t="shared" si="0"/>
        <v>98</v>
      </c>
      <c r="D10" s="224">
        <f>IF(ISNUMBER(Datos!I10),Datos!I10," - ")</f>
        <v>98</v>
      </c>
      <c r="E10" s="225">
        <f>IF(ISNUMBER(Datos!J10),Datos!J10," - ")</f>
        <v>11</v>
      </c>
      <c r="F10" s="225">
        <f>IF(ISNUMBER(Datos!K10),Datos!K10," - ")</f>
        <v>12</v>
      </c>
      <c r="G10" s="1033" t="str">
        <f>IF(Datos!E10&lt;&gt;"",Datos!E10,Datos!D10)</f>
        <v>37</v>
      </c>
      <c r="H10" s="226">
        <f>IF(ISNUMBER(Datos!L10),Datos!L10," - ")</f>
        <v>97</v>
      </c>
      <c r="I10" s="1043" t="str">
        <f>IF(ISNUMBER(Datos!AS10/Datos!BM10),Datos!AS10/Datos!BM10," - ")</f>
        <v xml:space="preserve"> - </v>
      </c>
      <c r="J10" s="1044">
        <f>IF(ISNUMBER(Datos!BY10/Datos!CN10),Datos!BY10/Datos!CN10," - ")</f>
        <v>0</v>
      </c>
      <c r="K10" s="229">
        <f t="shared" ref="K10:K12" si="1">IF(ISNUMBER((E10-F10)/C10),(E10-F10)/C10," - ")</f>
        <v>-1.020408163265306E-2</v>
      </c>
      <c r="L10" s="1024">
        <f>IF(ISNUMBER(NºAsuntos!I10/NºAsuntos!G10),(NºAsuntos!I10/NºAsuntos!G10)*11," - ")</f>
        <v>88.916666666666671</v>
      </c>
      <c r="M10" s="227" t="str">
        <f>IF(ISNUMBER(Datos!CL10),Datos!CL10," - ")</f>
        <v xml:space="preserve"> - </v>
      </c>
      <c r="N10" s="479">
        <f>Datos!CU10</f>
        <v>0</v>
      </c>
      <c r="O10" s="1034">
        <f>Datos!CT10</f>
        <v>0</v>
      </c>
      <c r="P10" s="1045" t="str">
        <f>IF(ISNUMBER((Datos!AS10/Datos!AQ10)),(Datos!AS10/Datos!AQ10)," - ")</f>
        <v xml:space="preserve"> - </v>
      </c>
      <c r="Q10" s="244" t="str">
        <f>IF(ISNUMBER(Datos!CQ10),Datos!CQ10," - ")</f>
        <v xml:space="preserve"> - </v>
      </c>
      <c r="R10" s="242" t="str">
        <f>IF(ISNUMBER((P10/Datos!CO10)*factor_trimestre),(P10/Datos!CO10)*factor_trimestre," - ")</f>
        <v xml:space="preserve"> - </v>
      </c>
      <c r="S10" s="350" t="str">
        <f>IF(ISNUMBER((Q10/Datos!CP10)*factor_trimestre),(Q10/Datos!CP10)*factor_trimestre," - ")</f>
        <v xml:space="preserve"> - </v>
      </c>
      <c r="T10" s="478">
        <f>Datos!ET10</f>
        <v>0</v>
      </c>
      <c r="U10" s="1149"/>
      <c r="V10" s="1153" t="str">
        <f>IF(U10="",IF(ISNUMBER(IF(ISNUMBER(S10),S10,0)/((Datos!EU10-Datos!ET10)/Datos!EU10)),IF(ISNUMBER(S10),S10,0)/((Datos!EU10-Datos!ET10)/Datos!EU10)," - "),IF(ISNUMBER(IF(ISNUMBER(S10),S10,0)/((Datos!EU10-U10)/Datos!EU10)),IF(ISNUMBER(S10),S10,0)/((Datos!EU10-U10)/Datos!EU10)))</f>
        <v xml:space="preserve"> - </v>
      </c>
      <c r="W10" s="478" t="str">
        <f>IF(ISNUMBER(Datos!CV10),Datos!CV10," - ")</f>
        <v xml:space="preserve"> - </v>
      </c>
      <c r="X10" s="478" t="str">
        <f>IF(ISNUMBER(Datos!DH10),Datos!DH10," - ")</f>
        <v xml:space="preserve"> - </v>
      </c>
      <c r="Y10" s="478" t="str">
        <f>IF(ISNUMBER(Datos!DI10),Datos!DI10," - ")</f>
        <v xml:space="preserve"> - </v>
      </c>
      <c r="Z10" s="334" t="str">
        <f>IF(ISNUMBER(Datos!DJ10),Datos!DJ10," - ")</f>
        <v xml:space="preserve"> - </v>
      </c>
      <c r="AA10" s="483" t="str">
        <f>IF(ISNUMBER(Datos!DG10),Datos!DG10," - ")</f>
        <v xml:space="preserve"> - </v>
      </c>
      <c r="AB10" s="333" t="str">
        <f>IF(ISNUMBER(Datos!CY10),Datos!CY10," - ")</f>
        <v xml:space="preserve"> - </v>
      </c>
      <c r="AC10" s="333" t="str">
        <f>IF(ISNUMBER(Datos!CZ10),Datos!CZ10," - ")</f>
        <v xml:space="preserve"> - </v>
      </c>
      <c r="AD10" s="333" t="str">
        <f>IF(ISNUMBER(Datos!DA10),Datos!DA10," - ")</f>
        <v xml:space="preserve"> - </v>
      </c>
      <c r="AE10" s="1145">
        <v>0</v>
      </c>
      <c r="BZ10" s="1185">
        <f>Datos!EZ10</f>
        <v>0</v>
      </c>
    </row>
    <row r="11" spans="1:78" ht="15">
      <c r="A11" s="1042">
        <f>ABS(Datos!AO11)</f>
        <v>0</v>
      </c>
      <c r="B11" s="501" t="str">
        <f>Datos!A11</f>
        <v xml:space="preserve">Jdos. Familia                                   </v>
      </c>
      <c r="C11" s="224" t="str">
        <f t="shared" si="0"/>
        <v xml:space="preserve"> - </v>
      </c>
      <c r="D11" s="224" t="str">
        <f>IF(ISNUMBER(IF(J_V="SI",Datos!I11,Datos!I11+Datos!Y11)-IF(Monitorios="SI",Datos!CA11,0)),
                          IF(J_V="SI",Datos!I11,Datos!I11+Datos!Y11)-IF(Monitorios="SI",Datos!CA11,0),
                          " - ")</f>
        <v xml:space="preserve"> - </v>
      </c>
      <c r="E11" s="225" t="str">
        <f>IF(ISNUMBER(IF(J_V="SI",Datos!J11,Datos!J11+Datos!Z11)-IF(Monitorios="SI",Datos!CB11,0)),
                          IF(J_V="SI",Datos!J11,Datos!J11+Datos!Z11)-IF(Monitorios="SI",Datos!CB11,0),
                          " - ")</f>
        <v xml:space="preserve"> - </v>
      </c>
      <c r="F11" s="225" t="str">
        <f>IF(ISNUMBER(IF(J_V="SI",Datos!K11,Datos!K11+Datos!AA11)-IF(Monitorios="SI",Datos!CC11,0)),
                          IF(J_V="SI",Datos!K11,Datos!K11+Datos!AA11)-IF(Monitorios="SI",Datos!CC11,0),
                          " - ")</f>
        <v xml:space="preserve"> - </v>
      </c>
      <c r="G11" s="1033" t="str">
        <f>IF(Datos!E11&lt;&gt;"",Datos!E11,Datos!D11)</f>
        <v>02</v>
      </c>
      <c r="H11" s="226" t="str">
        <f>IF(ISNUMBER(IF(J_V="SI",Datos!L11,Datos!L11+Datos!AB11)-IF(Monitorios="SI",Datos!CD11,0)),
                          IF(J_V="SI",Datos!L11,Datos!L11+Datos!AB11)-IF(Monitorios="SI",Datos!CD11,0),
                          " - ")</f>
        <v xml:space="preserve"> - </v>
      </c>
      <c r="I11" s="1043" t="str">
        <f>IF(ISNUMBER(Datos!AS11/Datos!BM11),Datos!AS11/Datos!BM11," - ")</f>
        <v xml:space="preserve"> - </v>
      </c>
      <c r="J11" s="1044">
        <f>IF(ISNUMBER(Datos!BY11/Datos!CN11),Datos!BY11/Datos!CN11," - ")</f>
        <v>0</v>
      </c>
      <c r="K11" s="229" t="str">
        <f t="shared" si="1"/>
        <v xml:space="preserve"> - </v>
      </c>
      <c r="L11" s="1024" t="str">
        <f>IF(ISNUMBER(NºAsuntos!I11/NºAsuntos!G11),(NºAsuntos!I11/NºAsuntos!G11)*11," - ")</f>
        <v xml:space="preserve"> - </v>
      </c>
      <c r="M11" s="227" t="str">
        <f>IF(ISNUMBER(Datos!CL11),Datos!CL11," - ")</f>
        <v xml:space="preserve"> - </v>
      </c>
      <c r="N11" s="479">
        <f>Datos!CU11</f>
        <v>0</v>
      </c>
      <c r="O11" s="1034">
        <f>Datos!CT11</f>
        <v>0</v>
      </c>
      <c r="P11" s="1045" t="str">
        <f>IF(ISNUMBER((Datos!AS11/Datos!AQ11)),(Datos!AS11/Datos!AQ11)," - ")</f>
        <v xml:space="preserve"> - </v>
      </c>
      <c r="Q11" s="244">
        <f>IF(ISNUMBER(Datos!CQ11+Datos!CR11),Datos!CQ11+Datos!CR11," - ")</f>
        <v>0</v>
      </c>
      <c r="R11" s="242" t="str">
        <f>IF(ISNUMBER((P11/Datos!CO11)*factor_trimestre),(P11/Datos!CO11)*factor_trimestre," - ")</f>
        <v xml:space="preserve"> - </v>
      </c>
      <c r="S11" s="350">
        <f>IF(ISNUMBER((Q11/Datos!CP11)*factor_trimestre),(Q11/Datos!CP11)*factor_trimestre," - ")</f>
        <v>0</v>
      </c>
      <c r="T11" s="478">
        <f>Datos!ET11</f>
        <v>0</v>
      </c>
      <c r="U11" s="1149"/>
      <c r="V11" s="1153" t="str">
        <f>IF(U11="",IF(ISNUMBER(IF(ISNUMBER(S11),S11,0)/((Datos!EU11-Datos!ET11)/Datos!EU11)),IF(ISNUMBER(S11),S11,0)/((Datos!EU11-Datos!ET11)/Datos!EU11)," - "),IF(ISNUMBER(IF(ISNUMBER(S11),S11,0)/((Datos!EU11-U11)/Datos!EU11)),IF(ISNUMBER(S11),S11,0)/((Datos!EU11-U11)/Datos!EU11)))</f>
        <v xml:space="preserve"> - </v>
      </c>
      <c r="W11" s="478" t="str">
        <f>IF(ISNUMBER(Datos!CV11),Datos!CV11," - ")</f>
        <v xml:space="preserve"> - </v>
      </c>
      <c r="X11" s="478" t="str">
        <f>IF(ISNUMBER(Datos!DH11),Datos!DH11," - ")</f>
        <v xml:space="preserve"> - </v>
      </c>
      <c r="Y11" s="478" t="str">
        <f>IF(ISNUMBER(Datos!DI11),Datos!DI11," - ")</f>
        <v xml:space="preserve"> - </v>
      </c>
      <c r="Z11" s="334" t="str">
        <f>IF(ISNUMBER(Datos!DJ11),Datos!DJ11," - ")</f>
        <v xml:space="preserve"> - </v>
      </c>
      <c r="AA11" s="483" t="str">
        <f>IF(ISNUMBER(Datos!DG11),Datos!DG11," - ")</f>
        <v xml:space="preserve"> - </v>
      </c>
      <c r="AB11" s="333" t="str">
        <f>IF(ISNUMBER(Datos!CY11),Datos!CY11," - ")</f>
        <v xml:space="preserve"> - </v>
      </c>
      <c r="AC11" s="333" t="str">
        <f>IF(ISNUMBER(Datos!CZ11),Datos!CZ11," - ")</f>
        <v xml:space="preserve"> - </v>
      </c>
      <c r="AD11" s="333" t="str">
        <f>IF(ISNUMBER(Datos!DA11),Datos!DA11," - ")</f>
        <v xml:space="preserve"> - </v>
      </c>
      <c r="AE11" s="1145">
        <v>0</v>
      </c>
      <c r="BZ11" s="1185">
        <f>Datos!EZ11</f>
        <v>0</v>
      </c>
    </row>
    <row r="12" spans="1:78" ht="15">
      <c r="A12" s="1042">
        <f>ABS(Datos!AO12)</f>
        <v>6</v>
      </c>
      <c r="B12" s="501" t="str">
        <f>Datos!A12</f>
        <v xml:space="preserve">Jdos. 1ª Instª. e Instr./Secc. Civil y de Inst. TI                      </v>
      </c>
      <c r="C12" s="224" t="str">
        <f t="shared" si="0"/>
        <v xml:space="preserve"> - </v>
      </c>
      <c r="D12" s="224" t="str">
        <f>IF(ISNUMBER(IF(J_V="SI",Datos!I12,Datos!I12+Datos!Y12)-IF(Monitorios="SI",Datos!CA12,0)),
                          IF(J_V="SI",Datos!I12,Datos!I12+Datos!Y12)-IF(Monitorios="SI",Datos!CA12,0),
                          " - ")</f>
        <v xml:space="preserve"> - </v>
      </c>
      <c r="E12" s="225" t="str">
        <f>IF(ISNUMBER(IF(J_V="SI",Datos!J12,Datos!J12+Datos!Z12)-IF(Monitorios="SI",Datos!CB12,0)),
                          IF(J_V="SI",Datos!J12,Datos!J12+Datos!Z12)-IF(Monitorios="SI",Datos!CB12,0),
                          " - ")</f>
        <v xml:space="preserve"> - </v>
      </c>
      <c r="F12" s="225" t="str">
        <f>IF(ISNUMBER(IF(J_V="SI",Datos!K12,Datos!K12+Datos!AA12)-IF(Monitorios="SI",Datos!CC12,0)),
                          IF(J_V="SI",Datos!K12,Datos!K12+Datos!AA12)-IF(Monitorios="SI",Datos!CC12,0),
                          " - ")</f>
        <v xml:space="preserve"> - </v>
      </c>
      <c r="G12" s="1033" t="str">
        <f>IF(Datos!E12&lt;&gt;"",Datos!E12,Datos!D12)</f>
        <v>04</v>
      </c>
      <c r="H12" s="226" t="str">
        <f>IF(ISNUMBER(IF(J_V="SI",Datos!L12,Datos!L12+Datos!AB12)-IF(Monitorios="SI",Datos!CD12,0)),
                          IF(J_V="SI",Datos!L12,Datos!L12+Datos!AB12)-IF(Monitorios="SI",Datos!CD12,0),
                          " - ")</f>
        <v xml:space="preserve"> - </v>
      </c>
      <c r="I12" s="1043" t="str">
        <f>IF(ISNUMBER(Datos!AS12/Datos!BM12),Datos!AS12/Datos!BM12," - ")</f>
        <v xml:space="preserve"> - </v>
      </c>
      <c r="J12" s="1044">
        <f>IF(ISNUMBER(Datos!BY12/Datos!CN12),Datos!BY12/Datos!CN12," - ")</f>
        <v>0</v>
      </c>
      <c r="K12" s="229" t="str">
        <f t="shared" si="1"/>
        <v xml:space="preserve"> - </v>
      </c>
      <c r="L12" s="1024">
        <f>IF(ISNUMBER(NºAsuntos!I12/NºAsuntos!G12),(NºAsuntos!I12/NºAsuntos!G12)*11," - ")</f>
        <v>26.035477582846003</v>
      </c>
      <c r="M12" s="227" t="str">
        <f>IF(ISNUMBER(Datos!CL12),Datos!CL12," - ")</f>
        <v xml:space="preserve"> - </v>
      </c>
      <c r="N12" s="479">
        <f>Datos!CU12</f>
        <v>0</v>
      </c>
      <c r="O12" s="1034">
        <f>Datos!CT12</f>
        <v>0</v>
      </c>
      <c r="P12" s="1045" t="str">
        <f>IF(ISNUMBER((Datos!AS12/Datos!AQ12)),(Datos!AS12/Datos!AQ12)," - ")</f>
        <v xml:space="preserve"> - </v>
      </c>
      <c r="Q12" s="244" t="str">
        <f>IF(ISNUMBER(Datos!CQ12),Datos!CQ12," - ")</f>
        <v xml:space="preserve"> - </v>
      </c>
      <c r="R12" s="242" t="str">
        <f>IF(ISNUMBER((P12/Datos!CO12)*factor_trimestre),(P12/Datos!CO12)*factor_trimestre," - ")</f>
        <v xml:space="preserve"> - </v>
      </c>
      <c r="S12" s="350" t="str">
        <f>IF(ISNUMBER((Q12/Datos!CP12)*factor_trimestre),(Q12/Datos!CP12)*factor_trimestre," - ")</f>
        <v xml:space="preserve"> - </v>
      </c>
      <c r="T12" s="478">
        <f>Datos!ET12</f>
        <v>0</v>
      </c>
      <c r="U12" s="1149"/>
      <c r="V12" s="1153" t="str">
        <f>IF(U12="",IF(ISNUMBER(IF(ISNUMBER(S12),S12,0)/((Datos!EU12-Datos!ET12)/Datos!EU12)),IF(ISNUMBER(S12),S12,0)/((Datos!EU12-Datos!ET12)/Datos!EU12)," - "),IF(ISNUMBER(IF(ISNUMBER(S12),S12,0)/((Datos!EU12-U12)/Datos!EU12)),IF(ISNUMBER(S12),S12,0)/((Datos!EU12-U12)/Datos!EU12)))</f>
        <v xml:space="preserve"> - </v>
      </c>
      <c r="W12" s="478" t="str">
        <f>IF(ISNUMBER(Datos!CV12),Datos!CV12," - ")</f>
        <v xml:space="preserve"> - </v>
      </c>
      <c r="X12" s="478" t="str">
        <f>IF(ISNUMBER(Datos!DH12),Datos!DH12," - ")</f>
        <v xml:space="preserve"> - </v>
      </c>
      <c r="Y12" s="478" t="str">
        <f>IF(ISNUMBER(Datos!DI12),Datos!DI12," - ")</f>
        <v xml:space="preserve"> - </v>
      </c>
      <c r="Z12" s="334" t="str">
        <f>IF(ISNUMBER(Datos!DJ12),Datos!DJ12," - ")</f>
        <v xml:space="preserve"> - </v>
      </c>
      <c r="AA12" s="483" t="str">
        <f>IF(ISNUMBER(Datos!DG12),Datos!DG12," - ")</f>
        <v xml:space="preserve"> - </v>
      </c>
      <c r="AB12" s="333" t="str">
        <f>IF(ISNUMBER(Datos!CY12),Datos!CY12," - ")</f>
        <v xml:space="preserve"> - </v>
      </c>
      <c r="AC12" s="333" t="str">
        <f>IF(ISNUMBER(Datos!CZ12),Datos!CZ12," - ")</f>
        <v xml:space="preserve"> - </v>
      </c>
      <c r="AD12" s="333" t="str">
        <f>IF(ISNUMBER(Datos!DA12),Datos!DA12," - ")</f>
        <v xml:space="preserve"> - </v>
      </c>
      <c r="AE12" s="1145">
        <v>0</v>
      </c>
      <c r="BZ12" s="1185">
        <f>Datos!EZ12</f>
        <v>0</v>
      </c>
    </row>
    <row r="13" spans="1:78" ht="15">
      <c r="A13" s="1047"/>
      <c r="B13" s="1096" t="str">
        <f>Datos!A13</f>
        <v>TOTAL</v>
      </c>
      <c r="C13" s="1048">
        <f>SUBTOTAL(9,C9:C12)</f>
        <v>98</v>
      </c>
      <c r="D13" s="1048">
        <f>SUBTOTAL(9,D9:D12)</f>
        <v>98</v>
      </c>
      <c r="E13" s="1049">
        <f>SUBTOTAL(9,E9:E12)</f>
        <v>11</v>
      </c>
      <c r="F13" s="1050">
        <f>SUBTOTAL(9,F9:F12)</f>
        <v>12</v>
      </c>
      <c r="G13" s="1051" t="str">
        <f ca="1">INDIRECT(CONCATENATE("G",ROW()-1))</f>
        <v>04</v>
      </c>
      <c r="H13" s="1052">
        <f ca="1">SUMIF(G$8:G12,G13,H$8:H12)</f>
        <v>0</v>
      </c>
      <c r="I13" s="1053"/>
      <c r="J13" s="1054"/>
      <c r="K13" s="1055"/>
      <c r="L13" s="1056"/>
      <c r="M13" s="1052">
        <f ca="1">SUMIF(G$8:G12,G13,M$8:M12)</f>
        <v>0</v>
      </c>
      <c r="N13" s="1056"/>
      <c r="O13" s="1052"/>
      <c r="P13" s="1057">
        <f ca="1">SUMIF(G$8:G12,G13,P$8:P12)</f>
        <v>0</v>
      </c>
      <c r="Q13" s="1058">
        <f ca="1">SUMIF(G$8:G12,G13,Q$8:Q12)</f>
        <v>0</v>
      </c>
      <c r="R13" s="1057">
        <f ca="1">SUMIF(G$8:G12,G13,R$8:R12)</f>
        <v>0</v>
      </c>
      <c r="S13" s="1059">
        <f ca="1">SUMIF(G$8:G12,G13,S$8:S12)</f>
        <v>0</v>
      </c>
      <c r="T13" s="1051"/>
      <c r="U13" s="1150"/>
      <c r="V13" s="1148">
        <f ca="1">SUMIF(G$8:G12,G13,V$8:V12)</f>
        <v>0</v>
      </c>
      <c r="W13" s="1060">
        <f ca="1">SUMIF($G$8:$G12,$G13,W$8:W12)</f>
        <v>0</v>
      </c>
      <c r="X13" s="1060">
        <f ca="1">SUMIF($G$8:$G12,$G13,X$8:X12)</f>
        <v>0</v>
      </c>
      <c r="Y13" s="1060">
        <f ca="1">SUMIF($G$8:$G12,$G13,Y$8:Y12)</f>
        <v>0</v>
      </c>
      <c r="Z13" s="1051">
        <f ca="1">SUMIF($G$8:$G12,$G13,Z$8:Z12)</f>
        <v>0</v>
      </c>
      <c r="AA13" s="1061">
        <f ca="1">SUMIF($G$8:$G12,$G13,AA$8:AA12)</f>
        <v>0</v>
      </c>
      <c r="AB13" s="1060">
        <f ca="1">SUMIF($G$8:$G12,$G13,AB$8:AB12)</f>
        <v>0</v>
      </c>
      <c r="AC13" s="1060">
        <f ca="1">SUMIF($G$8:$G12,$G13,AC$8:AC12)</f>
        <v>0</v>
      </c>
      <c r="AD13" s="1062">
        <f ca="1">SUMIF($G$8:$G12,$G13,AD$8:AD12)</f>
        <v>0</v>
      </c>
      <c r="AE13" s="1145"/>
      <c r="BZ13" s="1185"/>
    </row>
    <row r="14" spans="1:78" ht="15">
      <c r="A14" s="1349" t="str">
        <f>Datos!A14</f>
        <v xml:space="preserve">Jurisdicción Penal ( 2 ):                      </v>
      </c>
      <c r="B14" s="1350"/>
      <c r="C14" s="332"/>
      <c r="D14" s="332"/>
      <c r="E14" s="1063"/>
      <c r="F14" s="1063"/>
      <c r="G14" s="1063"/>
      <c r="H14" s="227"/>
      <c r="I14" s="332"/>
      <c r="J14" s="227"/>
      <c r="K14" s="229"/>
      <c r="L14" s="229"/>
      <c r="M14" s="227"/>
      <c r="N14" s="229"/>
      <c r="O14" s="1064"/>
      <c r="P14" s="1065"/>
      <c r="Q14" s="1066"/>
      <c r="R14" s="1067"/>
      <c r="S14" s="1064"/>
      <c r="T14" s="1033"/>
      <c r="U14" s="1151"/>
      <c r="V14" s="1145"/>
      <c r="W14" s="1068"/>
      <c r="X14" s="1039"/>
      <c r="Y14" s="1039"/>
      <c r="Z14" s="1040"/>
      <c r="AA14" s="563"/>
      <c r="AB14" s="563"/>
      <c r="AC14" s="563"/>
      <c r="AD14" s="1046"/>
      <c r="AE14" s="1145"/>
      <c r="BZ14" s="1185"/>
    </row>
    <row r="15" spans="1:78" ht="15">
      <c r="A15" s="1042">
        <f>ABS(Datos!AO15)</f>
        <v>0</v>
      </c>
      <c r="B15" s="501" t="str">
        <f>Datos!A15</f>
        <v xml:space="preserve">Jdos. Instrucción                               </v>
      </c>
      <c r="C15" s="224" t="str">
        <f t="shared" ref="C15:C17" si="2">IF(ISNUMBER(H15-E15+F15),H15-E15+F15," - ")</f>
        <v xml:space="preserve"> - </v>
      </c>
      <c r="D15" s="224" t="str">
        <f>IF(ISNUMBER(IF(D_I="SI",Datos!I15,Datos!I15+Datos!AC15)),IF(D_I="SI",Datos!I15,Datos!I15+Datos!AC15)," - ")</f>
        <v xml:space="preserve"> - </v>
      </c>
      <c r="E15" s="225" t="str">
        <f>IF(ISNUMBER(IF(D_I="SI",Datos!J15,Datos!J15+Datos!AD15)),IF(D_I="SI",Datos!J15,Datos!J15+Datos!AD15)," - ")</f>
        <v xml:space="preserve"> - </v>
      </c>
      <c r="F15" s="225" t="str">
        <f>IF(ISNUMBER(IF(D_I="SI",Datos!K15,Datos!K15+Datos!AE15)),IF(D_I="SI",Datos!K15,Datos!K15+Datos!AE15)," - ")</f>
        <v xml:space="preserve"> - </v>
      </c>
      <c r="G15" s="1033" t="str">
        <f>IF(Datos!E15&lt;&gt;"",Datos!E15,Datos!D15)</f>
        <v>03</v>
      </c>
      <c r="H15" s="226" t="str">
        <f>IF(ISNUMBER(IF(D_I="SI",Datos!L15,Datos!L15+Datos!AF15)),IF(D_I="SI",Datos!L15,Datos!L15+Datos!AF15)," - ")</f>
        <v xml:space="preserve"> - </v>
      </c>
      <c r="I15" s="1043" t="str">
        <f>IF(ISNUMBER(Datos!AS15/Datos!BM15),Datos!AS15/Datos!BM15," - ")</f>
        <v xml:space="preserve"> - </v>
      </c>
      <c r="J15" s="1044">
        <f>IF(ISNUMBER(Datos!BY15/Datos!CN15),Datos!BY15/Datos!CN15," - ")</f>
        <v>0</v>
      </c>
      <c r="K15" s="229" t="str">
        <f t="shared" ref="K15:K17" si="3">IF(ISNUMBER((E15-F15)/C15),(E15-F15)/C15," - ")</f>
        <v xml:space="preserve"> - </v>
      </c>
      <c r="L15" s="1024" t="str">
        <f>IF(ISNUMBER(NºAsuntos!I15/NºAsuntos!G15),(NºAsuntos!I15/NºAsuntos!G15)*11," - ")</f>
        <v xml:space="preserve"> - </v>
      </c>
      <c r="M15" s="227" t="str">
        <f>IF(ISNUMBER(Datos!CL15),Datos!CL15," - ")</f>
        <v xml:space="preserve"> - </v>
      </c>
      <c r="N15" s="479">
        <f>Datos!CU15</f>
        <v>0</v>
      </c>
      <c r="O15" s="1034">
        <f>Datos!CT15</f>
        <v>0</v>
      </c>
      <c r="P15" s="1045" t="str">
        <f>IF(ISNUMBER((Datos!AS15/Datos!AQ15)),(Datos!AS15/Datos!AQ15)," - ")</f>
        <v xml:space="preserve"> - </v>
      </c>
      <c r="Q15" s="244">
        <f>IF(ISNUMBER(Datos!CQ15+Datos!CR15),Datos!CQ15+Datos!CR15*1.16," - ")</f>
        <v>0</v>
      </c>
      <c r="R15" s="242" t="str">
        <f>IF(ISNUMBER((P15/Datos!CO15)*factor_trimestre),(P15/Datos!CO15)*factor_trimestre," - ")</f>
        <v xml:space="preserve"> - </v>
      </c>
      <c r="S15" s="350">
        <f>IF(ISNUMBER((Q15/Datos!CP15)*factor_trimestre),(Q15/Datos!CP15)*factor_trimestre," - ")</f>
        <v>0</v>
      </c>
      <c r="T15" s="478">
        <f>Datos!ET15</f>
        <v>0</v>
      </c>
      <c r="U15" s="1149"/>
      <c r="V15" s="1153" t="str">
        <f>IF(U15="",IF(ISNUMBER(IF(ISNUMBER(S15),S15,0)/((Datos!EU15-Datos!ET15)/Datos!EU15)),IF(ISNUMBER(S15),S15,0)/((Datos!EU15-Datos!ET15)/Datos!EU15)," - "),IF(ISNUMBER(IF(ISNUMBER(S15),S15,0)/((Datos!EU15-U15)/Datos!EU15)),IF(ISNUMBER(S15),S15,0)/((Datos!EU15-U15)/Datos!EU15)))</f>
        <v xml:space="preserve"> - </v>
      </c>
      <c r="W15" s="478" t="str">
        <f>IF(ISNUMBER(Datos!CV15),Datos!CV15," - ")</f>
        <v xml:space="preserve"> - </v>
      </c>
      <c r="X15" s="478" t="str">
        <f>IF(ISNUMBER(Datos!DH15),Datos!DH15," - ")</f>
        <v xml:space="preserve"> - </v>
      </c>
      <c r="Y15" s="478" t="str">
        <f>IF(ISNUMBER(Datos!DI15),Datos!DI15," - ")</f>
        <v xml:space="preserve"> - </v>
      </c>
      <c r="Z15" s="334" t="str">
        <f>IF(ISNUMBER(Datos!DJ15),Datos!DJ15," - ")</f>
        <v xml:space="preserve"> - </v>
      </c>
      <c r="AA15" s="483" t="str">
        <f>IF(ISNUMBER(Datos!DG15),Datos!DG15," - ")</f>
        <v xml:space="preserve"> - </v>
      </c>
      <c r="AB15" s="333" t="str">
        <f>IF(ISNUMBER(Datos!CY15),Datos!CY15," - ")</f>
        <v xml:space="preserve"> - </v>
      </c>
      <c r="AC15" s="333" t="str">
        <f>IF(ISNUMBER(Datos!CZ15),Datos!CZ15," - ")</f>
        <v xml:space="preserve"> - </v>
      </c>
      <c r="AD15" s="333" t="str">
        <f>IF(ISNUMBER(Datos!DA15),Datos!DA15," - ")</f>
        <v xml:space="preserve"> - </v>
      </c>
      <c r="AE15" s="1145">
        <v>0</v>
      </c>
      <c r="BZ15" s="1185">
        <f>Datos!EZ15</f>
        <v>0</v>
      </c>
    </row>
    <row r="16" spans="1:78" ht="15">
      <c r="A16" s="1042">
        <f>ABS(Datos!AO16)</f>
        <v>6</v>
      </c>
      <c r="B16" s="501" t="str">
        <f>Datos!A16</f>
        <v xml:space="preserve">Jdos. 1ª Instª. e Instr./Secc. Civil y de Inst. TI                      </v>
      </c>
      <c r="C16" s="224">
        <f t="shared" si="2"/>
        <v>3108</v>
      </c>
      <c r="D16" s="224">
        <f>IF(ISNUMBER(IF(D_I="SI",Datos!I16,Datos!I16+Datos!AC16)),IF(D_I="SI",Datos!I16,Datos!I16+Datos!AC16)," - ")</f>
        <v>3362</v>
      </c>
      <c r="E16" s="225">
        <f>IF(ISNUMBER(IF(D_I="SI",Datos!J16,Datos!J16+Datos!AD16)),IF(D_I="SI",Datos!J16,Datos!J16+Datos!AD16)," - ")</f>
        <v>1795</v>
      </c>
      <c r="F16" s="225">
        <f>IF(ISNUMBER(IF(D_I="SI",Datos!K16,Datos!K16+Datos!AE16)),IF(D_I="SI",Datos!K16,Datos!K16+Datos!AE16)," - ")</f>
        <v>1556</v>
      </c>
      <c r="G16" s="1033" t="str">
        <f>IF(Datos!E16&lt;&gt;"",Datos!E16,Datos!D16)</f>
        <v>04</v>
      </c>
      <c r="H16" s="226">
        <f>IF(ISNUMBER(IF(D_I="SI",Datos!L16,Datos!L16+Datos!AF16)),IF(D_I="SI",Datos!L16,Datos!L16+Datos!AF16)," - ")</f>
        <v>3347</v>
      </c>
      <c r="I16" s="1043" t="str">
        <f>IF(ISNUMBER(Datos!AS16/Datos!BM16),Datos!AS16/Datos!BM16," - ")</f>
        <v xml:space="preserve"> - </v>
      </c>
      <c r="J16" s="1044">
        <f>IF(ISNUMBER(Datos!BY16/Datos!CN16),Datos!BY16/Datos!CN16," - ")</f>
        <v>0</v>
      </c>
      <c r="K16" s="229">
        <f t="shared" si="3"/>
        <v>7.6898326898326902E-2</v>
      </c>
      <c r="L16" s="1024">
        <f>IF(ISNUMBER(NºAsuntos!I16/NºAsuntos!G16),(NºAsuntos!I16/NºAsuntos!G16)*11," - ")</f>
        <v>23.661311053984576</v>
      </c>
      <c r="M16" s="227" t="str">
        <f>IF(ISNUMBER(Datos!CL16),Datos!CL16," - ")</f>
        <v xml:space="preserve"> - </v>
      </c>
      <c r="N16" s="479">
        <f>Datos!CU16</f>
        <v>0</v>
      </c>
      <c r="O16" s="1034">
        <f>Datos!CT16</f>
        <v>0</v>
      </c>
      <c r="P16" s="1045" t="str">
        <f>IF(ISNUMBER((Datos!AS16/Datos!AQ16)),(Datos!AS16/Datos!AQ16)," - ")</f>
        <v xml:space="preserve"> - </v>
      </c>
      <c r="Q16" s="244" t="str">
        <f>IF(ISNUMBER(Datos!CQ16),Datos!CQ16," - ")</f>
        <v xml:space="preserve"> - </v>
      </c>
      <c r="R16" s="242" t="str">
        <f>IF(ISNUMBER((P16/Datos!CO16)*factor_trimestre),(P16/Datos!CO16)*factor_trimestre," - ")</f>
        <v xml:space="preserve"> - </v>
      </c>
      <c r="S16" s="350" t="str">
        <f>IF(ISNUMBER((Q16/Datos!CP16)*factor_trimestre),(Q16/Datos!CP16)*factor_trimestre," - ")</f>
        <v xml:space="preserve"> - </v>
      </c>
      <c r="T16" s="478">
        <f>Datos!ET16</f>
        <v>0</v>
      </c>
      <c r="U16" s="1149"/>
      <c r="V16" s="1153" t="str">
        <f>IF(U16="",IF(ISNUMBER(IF(ISNUMBER(S16),S16,0)/((Datos!EU16-Datos!ET16)/Datos!EU16)),IF(ISNUMBER(S16),S16,0)/((Datos!EU16-Datos!ET16)/Datos!EU16)," - "),IF(ISNUMBER(IF(ISNUMBER(S16),S16,0)/((Datos!EU16-U16)/Datos!EU16)),IF(ISNUMBER(S16),S16,0)/((Datos!EU16-U16)/Datos!EU16)))</f>
        <v xml:space="preserve"> - </v>
      </c>
      <c r="W16" s="478" t="str">
        <f>IF(ISNUMBER(Datos!CV16),Datos!CV16," - ")</f>
        <v xml:space="preserve"> - </v>
      </c>
      <c r="X16" s="478" t="str">
        <f>IF(ISNUMBER(Datos!DH16),Datos!DH16," - ")</f>
        <v xml:space="preserve"> - </v>
      </c>
      <c r="Y16" s="478" t="str">
        <f>IF(ISNUMBER(Datos!DI16),Datos!DI16," - ")</f>
        <v xml:space="preserve"> - </v>
      </c>
      <c r="Z16" s="334" t="str">
        <f>IF(ISNUMBER(Datos!DJ16),Datos!DJ16," - ")</f>
        <v xml:space="preserve"> - </v>
      </c>
      <c r="AA16" s="483" t="str">
        <f>IF(ISNUMBER(Datos!DG16),Datos!DG16," - ")</f>
        <v xml:space="preserve"> - </v>
      </c>
      <c r="AB16" s="333" t="str">
        <f>IF(ISNUMBER(Datos!CY16),Datos!CY16," - ")</f>
        <v xml:space="preserve"> - </v>
      </c>
      <c r="AC16" s="333" t="str">
        <f>IF(ISNUMBER(Datos!CZ16),Datos!CZ16," - ")</f>
        <v xml:space="preserve"> - </v>
      </c>
      <c r="AD16" s="333" t="str">
        <f>IF(ISNUMBER(Datos!DA16),Datos!DA16," - ")</f>
        <v xml:space="preserve"> - </v>
      </c>
      <c r="AE16" s="1145">
        <v>0</v>
      </c>
      <c r="BZ16" s="1185">
        <f>Datos!EZ16</f>
        <v>0</v>
      </c>
    </row>
    <row r="17" spans="1:78" ht="15">
      <c r="A17" s="1042">
        <f>ABS(Datos!AO17)</f>
        <v>1</v>
      </c>
      <c r="B17" s="501" t="str">
        <f>Datos!A17</f>
        <v>Jdos. Violencia contra la mujer/Secc Viol. TI.</v>
      </c>
      <c r="C17" s="224">
        <f t="shared" si="2"/>
        <v>75</v>
      </c>
      <c r="D17" s="224">
        <f>IF(ISNUMBER(IF(D_I="SI",Datos!I17,Datos!I17+Datos!AC17)),IF(D_I="SI",Datos!I17,Datos!I17+Datos!AC17)," - ")</f>
        <v>75</v>
      </c>
      <c r="E17" s="225">
        <f>IF(ISNUMBER(IF(D_I="SI",Datos!J17,Datos!J17+Datos!AD17)),IF(D_I="SI",Datos!J17,Datos!J17+Datos!AD17)," - ")</f>
        <v>106</v>
      </c>
      <c r="F17" s="225">
        <f>IF(ISNUMBER(IF(D_I="SI",Datos!K17,Datos!K17+Datos!AE17)),IF(D_I="SI",Datos!K17,Datos!K17+Datos!AE17)," - ")</f>
        <v>132</v>
      </c>
      <c r="G17" s="1033" t="str">
        <f>IF(Datos!E17&lt;&gt;"",Datos!E17,Datos!D17)</f>
        <v>37</v>
      </c>
      <c r="H17" s="226">
        <f>IF(ISNUMBER(IF(D_I="SI",Datos!L17,Datos!L17+Datos!AF17)),IF(D_I="SI",Datos!L17,Datos!L17+Datos!AF17)," - ")</f>
        <v>49</v>
      </c>
      <c r="I17" s="1043" t="str">
        <f>IF(ISNUMBER(Datos!AS17/Datos!BM17),Datos!AS17/Datos!BM17," - ")</f>
        <v xml:space="preserve"> - </v>
      </c>
      <c r="J17" s="1044" t="str">
        <f>IF(ISNUMBER((Datos!BY17+Datos!BZ17)/Datos!CN17),(Datos!BY17+Datos!BZ17)/Datos!CN17," - ")</f>
        <v xml:space="preserve"> - </v>
      </c>
      <c r="K17" s="229">
        <f t="shared" si="3"/>
        <v>-0.34666666666666668</v>
      </c>
      <c r="L17" s="1024">
        <f>IF(ISNUMBER(NºAsuntos!I17/NºAsuntos!G17),(NºAsuntos!I17/NºAsuntos!G17)*11," - ")</f>
        <v>4.083333333333333</v>
      </c>
      <c r="M17" s="227" t="str">
        <f>IF(ISNUMBER(Datos!CL17),Datos!CL17," - ")</f>
        <v xml:space="preserve"> - </v>
      </c>
      <c r="N17" s="479">
        <f>Datos!CU17</f>
        <v>0</v>
      </c>
      <c r="O17" s="1034">
        <f>Datos!CT17</f>
        <v>0</v>
      </c>
      <c r="P17" s="1045" t="str">
        <f>IF(ISNUMBER((Datos!AS17/Datos!AQ17)),(Datos!AS17/Datos!AQ17)," - ")</f>
        <v xml:space="preserve"> - </v>
      </c>
      <c r="Q17" s="244" t="str">
        <f>IF(ISNUMBER(Datos!CQ17),Datos!CQ17," - ")</f>
        <v xml:space="preserve"> - </v>
      </c>
      <c r="R17" s="242" t="str">
        <f>IF(ISNUMBER((P17/Datos!CO17)*factor_trimestre),(P17/Datos!CO17)*factor_trimestre," - ")</f>
        <v xml:space="preserve"> - </v>
      </c>
      <c r="S17" s="350" t="str">
        <f>IF(ISNUMBER((Q17/Datos!CP17)*factor_trimestre),(Q17/Datos!CP17)*factor_trimestre," - ")</f>
        <v xml:space="preserve"> - </v>
      </c>
      <c r="T17" s="478">
        <f>Datos!ET17</f>
        <v>0</v>
      </c>
      <c r="U17" s="1149"/>
      <c r="V17" s="1153" t="str">
        <f>IF(U17="",IF(ISNUMBER(IF(ISNUMBER(S17),S17,0)/((Datos!EU17-Datos!ET17)/Datos!EU17)),IF(ISNUMBER(S17),S17,0)/((Datos!EU17-Datos!ET17)/Datos!EU17)," - "),IF(ISNUMBER(IF(ISNUMBER(S17),S17,0)/((Datos!EU17-U17)/Datos!EU17)),IF(ISNUMBER(S17),S17,0)/((Datos!EU17-U17)/Datos!EU17)))</f>
        <v xml:space="preserve"> - </v>
      </c>
      <c r="W17" s="478" t="str">
        <f>IF(ISNUMBER(Datos!CV17),Datos!CV17," - ")</f>
        <v xml:space="preserve"> - </v>
      </c>
      <c r="X17" s="478" t="str">
        <f>IF(ISNUMBER(Datos!DH17),Datos!DH17," - ")</f>
        <v xml:space="preserve"> - </v>
      </c>
      <c r="Y17" s="478" t="str">
        <f>IF(ISNUMBER(Datos!DI17),Datos!DI17," - ")</f>
        <v xml:space="preserve"> - </v>
      </c>
      <c r="Z17" s="334" t="str">
        <f>IF(ISNUMBER(Datos!DJ17),Datos!DJ17," - ")</f>
        <v xml:space="preserve"> - </v>
      </c>
      <c r="AA17" s="483" t="str">
        <f>IF(ISNUMBER(Datos!DG17),Datos!DG17," - ")</f>
        <v xml:space="preserve"> - </v>
      </c>
      <c r="AB17" s="333" t="str">
        <f>IF(ISNUMBER(Datos!CY17),Datos!CY17," - ")</f>
        <v xml:space="preserve"> - </v>
      </c>
      <c r="AC17" s="333" t="str">
        <f>IF(ISNUMBER(Datos!CZ17),Datos!CZ17," - ")</f>
        <v xml:space="preserve"> - </v>
      </c>
      <c r="AD17" s="333" t="str">
        <f>IF(ISNUMBER(Datos!DA17),Datos!DA17," - ")</f>
        <v xml:space="preserve"> - </v>
      </c>
      <c r="AE17" s="1145">
        <v>0</v>
      </c>
      <c r="BZ17" s="1185">
        <f>Datos!EZ17</f>
        <v>0</v>
      </c>
    </row>
    <row r="18" spans="1:78" ht="15.75" thickBot="1">
      <c r="A18" s="1047"/>
      <c r="B18" s="1096" t="str">
        <f>Datos!A18</f>
        <v>TOTAL</v>
      </c>
      <c r="C18" s="1048">
        <f>SUBTOTAL(9,C15:C17)</f>
        <v>3183</v>
      </c>
      <c r="D18" s="1048">
        <f>SUBTOTAL(9,D15:D17)</f>
        <v>3437</v>
      </c>
      <c r="E18" s="1049">
        <f>SUBTOTAL(9,E15:E17)</f>
        <v>1901</v>
      </c>
      <c r="F18" s="1049">
        <f>SUBTOTAL(9,F15:F17)</f>
        <v>1688</v>
      </c>
      <c r="G18" s="1051" t="str">
        <f ca="1">INDIRECT(CONCATENATE("G",ROW()-1))</f>
        <v>37</v>
      </c>
      <c r="H18" s="1052">
        <f ca="1">SUMIF(G$14:G17,G18,H$14:H17)</f>
        <v>49</v>
      </c>
      <c r="I18" s="1053"/>
      <c r="J18" s="1054"/>
      <c r="K18" s="1055"/>
      <c r="L18" s="1056"/>
      <c r="M18" s="1052">
        <f ca="1">SUMIF(G$14:G17,G18,M$14:M17)</f>
        <v>0</v>
      </c>
      <c r="N18" s="1056"/>
      <c r="O18" s="1052"/>
      <c r="P18" s="1057">
        <f ca="1">SUMIF(G$14:G17,G18,P$14:P17)</f>
        <v>0</v>
      </c>
      <c r="Q18" s="1058">
        <f ca="1">SUMIF(G$14:G17,G18,Q$14:Q17)</f>
        <v>0</v>
      </c>
      <c r="R18" s="1057">
        <f ca="1">SUMIF(G$14:G17,G18,R$14:R17)</f>
        <v>0</v>
      </c>
      <c r="S18" s="1059">
        <f ca="1">SUMIF(G$14:G17,G18,S$14:S17)</f>
        <v>0</v>
      </c>
      <c r="T18" s="1051"/>
      <c r="U18" s="1150"/>
      <c r="V18" s="1148">
        <f ca="1">SUMIF(G$14:G17,G18,V$14:V17)</f>
        <v>0</v>
      </c>
      <c r="W18" s="1060">
        <f ca="1">SUMIF($G$14:$G17,$G18,W$14:W17)</f>
        <v>0</v>
      </c>
      <c r="X18" s="1060">
        <f ca="1">SUMIF($G$14:$G17,$G18,X$14:X17)</f>
        <v>0</v>
      </c>
      <c r="Y18" s="1060">
        <f ca="1">SUMIF($G$14:$G17,$G18,Y$14:Y17)</f>
        <v>0</v>
      </c>
      <c r="Z18" s="1051">
        <f ca="1">SUMIF($G$14:$G17,$G18,Z$14:Z17)</f>
        <v>0</v>
      </c>
      <c r="AA18" s="1061">
        <f ca="1">SUMIF($G$14:$G17,$G18,AA$14:AA17)</f>
        <v>0</v>
      </c>
      <c r="AB18" s="1060">
        <f ca="1">SUMIF($G$14:$G17,$G18,AB$14:AB17)</f>
        <v>0</v>
      </c>
      <c r="AC18" s="1060">
        <f ca="1">SUMIF($G$14:$G17,$G18,AC$14:AC17)</f>
        <v>0</v>
      </c>
      <c r="AD18" s="1060">
        <f ca="1">SUMIF($G$14:$G17,$G18,AD$14:AD17)</f>
        <v>0</v>
      </c>
      <c r="AE18" s="1145"/>
      <c r="BZ18" s="1185"/>
    </row>
    <row r="19" spans="1:78" ht="18.75" customHeight="1" thickTop="1" thickBot="1">
      <c r="A19" s="1069"/>
      <c r="B19" s="1097" t="str">
        <f>Datos!A19</f>
        <v>TOTAL JURISDICCIONES</v>
      </c>
      <c r="C19" s="1070">
        <f>SUBTOTAL(9,C9:C18)</f>
        <v>3281</v>
      </c>
      <c r="D19" s="1070">
        <f>SUBTOTAL(9,D9:D18)</f>
        <v>3535</v>
      </c>
      <c r="E19" s="1071">
        <f>SUBTOTAL(9,E9:E18)</f>
        <v>1912</v>
      </c>
      <c r="F19" s="1071">
        <f>SUBTOTAL(9,F9:F18)</f>
        <v>1700</v>
      </c>
      <c r="G19" s="1072"/>
      <c r="H19" s="1073">
        <f ca="1">SUMIF(B9:B18,"TOTAL",H9:H18)</f>
        <v>49</v>
      </c>
      <c r="I19" s="1074"/>
      <c r="J19" s="1075"/>
      <c r="K19" s="1076"/>
      <c r="L19" s="1077"/>
      <c r="M19" s="1078">
        <f ca="1">SUMIF(B9:B18,"TOTAL",M9:M18)</f>
        <v>0</v>
      </c>
      <c r="N19" s="1077"/>
      <c r="O19" s="1078"/>
      <c r="P19" s="1078"/>
      <c r="Q19" s="1078"/>
      <c r="R19" s="1079">
        <f ca="1">SUMIF(B9:B18,"TOTAL",R9:R18)</f>
        <v>0</v>
      </c>
      <c r="S19" s="1080">
        <f ca="1">SUMIF(B9:B18,"TOTAL",S9:S18)</f>
        <v>0</v>
      </c>
      <c r="T19" s="1082"/>
      <c r="U19" s="1152"/>
      <c r="V19" s="1080">
        <f ca="1">SUMIF(B9:B18,"TOTAL",V9:V18)</f>
        <v>0</v>
      </c>
      <c r="W19" s="1081">
        <f t="shared" ref="W19:AD19" ca="1" si="4">SUMIF($B9:$B18,"TOTAL",W9:W18)</f>
        <v>0</v>
      </c>
      <c r="X19" s="1081">
        <f t="shared" ca="1" si="4"/>
        <v>0</v>
      </c>
      <c r="Y19" s="1081">
        <f t="shared" ca="1" si="4"/>
        <v>0</v>
      </c>
      <c r="Z19" s="1082">
        <f t="shared" ca="1" si="4"/>
        <v>0</v>
      </c>
      <c r="AA19" s="1081">
        <f t="shared" ca="1" si="4"/>
        <v>0</v>
      </c>
      <c r="AB19" s="1081">
        <f t="shared" ca="1" si="4"/>
        <v>0</v>
      </c>
      <c r="AC19" s="1081">
        <f t="shared" ca="1" si="4"/>
        <v>0</v>
      </c>
      <c r="AD19" s="1083">
        <f t="shared" ca="1" si="4"/>
        <v>0</v>
      </c>
    </row>
    <row r="20" spans="1:78" ht="12" customHeight="1" thickTop="1">
      <c r="B20" s="73"/>
    </row>
    <row r="21" spans="1:78" ht="12.75" customHeight="1">
      <c r="B21" s="1098"/>
      <c r="C21" s="1028"/>
      <c r="D21" s="1028"/>
      <c r="E21" s="1029"/>
      <c r="F21" s="1028"/>
      <c r="G21" s="1028"/>
      <c r="H21" s="1028"/>
      <c r="I21" s="1028"/>
      <c r="J21" s="1028"/>
      <c r="K21" s="1029"/>
      <c r="L21" s="1029"/>
      <c r="M21" s="1029"/>
      <c r="N21" s="1029"/>
      <c r="O21" s="1029"/>
      <c r="P21" s="1029"/>
      <c r="Q21" s="1029"/>
    </row>
    <row r="22" spans="1:78" ht="12.75" customHeight="1">
      <c r="B22" s="470" t="str">
        <f>Criterios!A4</f>
        <v>Fecha Informe: 17 mar. 2026</v>
      </c>
      <c r="C22" s="1028"/>
      <c r="D22" s="1028"/>
      <c r="E22" s="1029"/>
      <c r="F22" s="1028"/>
      <c r="G22" s="1028"/>
      <c r="H22" s="1028"/>
      <c r="I22" s="1028"/>
      <c r="J22" s="1028"/>
      <c r="K22" s="1029"/>
      <c r="L22" s="1029"/>
      <c r="M22" s="1029"/>
      <c r="N22" s="1029"/>
      <c r="O22" s="1029"/>
      <c r="P22" s="1029"/>
      <c r="Q22" s="1029"/>
    </row>
    <row r="23" spans="1:78" ht="12.75" customHeight="1">
      <c r="B23" s="1098"/>
      <c r="C23" s="1028"/>
      <c r="D23" s="1028"/>
      <c r="E23" s="1028"/>
      <c r="F23" s="1028"/>
      <c r="G23" s="1028"/>
      <c r="H23" s="1028"/>
      <c r="I23" s="1028"/>
      <c r="J23" s="1028"/>
      <c r="K23" s="1028"/>
      <c r="L23" s="1028"/>
      <c r="M23" s="1028"/>
      <c r="N23" s="1028"/>
      <c r="O23" s="1028"/>
      <c r="P23" s="1028"/>
      <c r="Q23" s="1028"/>
    </row>
    <row r="24" spans="1:78" ht="12.75" customHeight="1">
      <c r="B24" s="1098"/>
      <c r="C24" s="1028"/>
      <c r="D24" s="1028"/>
      <c r="E24" s="1028"/>
      <c r="F24" s="1028"/>
      <c r="G24" s="1028"/>
      <c r="H24" s="1028"/>
      <c r="I24" s="1028"/>
      <c r="J24" s="1028"/>
      <c r="K24" s="1028"/>
      <c r="L24" s="1028"/>
      <c r="M24" s="1028"/>
      <c r="N24" s="1028"/>
      <c r="O24" s="1028"/>
      <c r="P24" s="1028"/>
      <c r="Q24" s="1028"/>
    </row>
    <row r="25" spans="1:78">
      <c r="B25" s="526"/>
      <c r="N25" s="1326" t="s">
        <v>630</v>
      </c>
      <c r="O25" s="1326"/>
      <c r="P25" s="1326"/>
      <c r="Q25" s="1326"/>
      <c r="R25" s="1326"/>
      <c r="S25" s="1326"/>
      <c r="T25" s="1326"/>
      <c r="U25" s="1326"/>
      <c r="V25" s="1326"/>
      <c r="W25" s="1326"/>
      <c r="Y25" s="1326" t="s">
        <v>631</v>
      </c>
      <c r="Z25" s="1326"/>
      <c r="AA25" s="1326"/>
      <c r="AB25" s="1326"/>
      <c r="AC25" s="1326"/>
      <c r="AD25" s="1326"/>
    </row>
    <row r="27" spans="1:78">
      <c r="N27" s="1030" t="s">
        <v>632</v>
      </c>
      <c r="O27" s="1325" t="s">
        <v>633</v>
      </c>
      <c r="P27" s="1325"/>
      <c r="Q27" s="1325"/>
      <c r="R27" s="1325"/>
      <c r="S27" s="1325"/>
      <c r="T27" s="1325"/>
      <c r="U27" s="1325"/>
      <c r="V27" s="1325"/>
      <c r="W27" s="1325"/>
      <c r="Y27" s="1030" t="s">
        <v>632</v>
      </c>
      <c r="Z27" s="1323" t="s">
        <v>634</v>
      </c>
      <c r="AA27" s="1323"/>
      <c r="AB27" s="1323"/>
      <c r="AC27" s="1323"/>
      <c r="AD27" s="1323"/>
    </row>
    <row r="28" spans="1:78">
      <c r="N28" s="1030" t="s">
        <v>635</v>
      </c>
      <c r="O28" s="1325" t="s">
        <v>636</v>
      </c>
      <c r="P28" s="1325"/>
      <c r="Q28" s="1325"/>
      <c r="R28" s="1325"/>
      <c r="S28" s="1325"/>
      <c r="T28" s="1325"/>
      <c r="U28" s="1325"/>
      <c r="V28" s="1325"/>
      <c r="W28" s="1325"/>
      <c r="Y28" s="1030" t="s">
        <v>635</v>
      </c>
      <c r="Z28" s="1323" t="s">
        <v>637</v>
      </c>
      <c r="AA28" s="1323"/>
      <c r="AB28" s="1323"/>
      <c r="AC28" s="1323"/>
      <c r="AD28" s="1323"/>
    </row>
    <row r="29" spans="1:78">
      <c r="N29" s="1030" t="s">
        <v>638</v>
      </c>
      <c r="O29" s="1325" t="s">
        <v>639</v>
      </c>
      <c r="P29" s="1325"/>
      <c r="Q29" s="1325"/>
      <c r="R29" s="1325"/>
      <c r="S29" s="1325"/>
      <c r="T29" s="1325"/>
      <c r="U29" s="1325"/>
      <c r="V29" s="1325"/>
      <c r="W29" s="1325"/>
      <c r="Y29" s="1030" t="s">
        <v>640</v>
      </c>
      <c r="Z29" s="1323" t="s">
        <v>869</v>
      </c>
      <c r="AA29" s="1323"/>
      <c r="AB29" s="1323"/>
      <c r="AC29" s="1323"/>
      <c r="AD29" s="1323"/>
    </row>
    <row r="30" spans="1:78">
      <c r="N30" s="1030" t="s">
        <v>641</v>
      </c>
      <c r="O30" s="1325" t="s">
        <v>642</v>
      </c>
      <c r="P30" s="1325"/>
      <c r="Q30" s="1325"/>
      <c r="R30" s="1325"/>
      <c r="S30" s="1325"/>
      <c r="T30" s="1325"/>
      <c r="U30" s="1325"/>
      <c r="V30" s="1325"/>
      <c r="W30" s="1325"/>
      <c r="Y30" s="1030" t="s">
        <v>643</v>
      </c>
      <c r="Z30" s="1323" t="s">
        <v>870</v>
      </c>
      <c r="AA30" s="1323"/>
      <c r="AB30" s="1323"/>
      <c r="AC30" s="1323"/>
      <c r="AD30" s="1323"/>
    </row>
    <row r="31" spans="1:78">
      <c r="N31" s="1030" t="s">
        <v>726</v>
      </c>
      <c r="O31" s="1325" t="s">
        <v>727</v>
      </c>
      <c r="P31" s="1325"/>
      <c r="Q31" s="1325"/>
      <c r="R31" s="1325"/>
      <c r="S31" s="1325"/>
      <c r="T31" s="1325"/>
      <c r="U31" s="1325"/>
      <c r="V31" s="1325"/>
      <c r="W31" s="1325"/>
      <c r="Y31" s="1030" t="s">
        <v>638</v>
      </c>
      <c r="Z31" s="1323" t="s">
        <v>639</v>
      </c>
      <c r="AA31" s="1323"/>
      <c r="AB31" s="1323"/>
      <c r="AC31" s="1323"/>
      <c r="AD31" s="1323"/>
    </row>
    <row r="32" spans="1:78">
      <c r="N32" s="1030" t="s">
        <v>644</v>
      </c>
      <c r="O32" s="1325" t="s">
        <v>645</v>
      </c>
      <c r="P32" s="1325"/>
      <c r="Q32" s="1325"/>
      <c r="R32" s="1325"/>
      <c r="S32" s="1325"/>
      <c r="T32" s="1325"/>
      <c r="U32" s="1325"/>
      <c r="V32" s="1325"/>
      <c r="W32" s="1325"/>
      <c r="Y32" s="1030" t="s">
        <v>641</v>
      </c>
      <c r="Z32" s="1323" t="s">
        <v>642</v>
      </c>
      <c r="AA32" s="1323"/>
      <c r="AB32" s="1323"/>
      <c r="AC32" s="1323"/>
      <c r="AD32" s="1323"/>
    </row>
    <row r="33" spans="14:30">
      <c r="N33" s="1030" t="s">
        <v>646</v>
      </c>
      <c r="O33" s="1325" t="s">
        <v>647</v>
      </c>
      <c r="P33" s="1325"/>
      <c r="Q33" s="1325"/>
      <c r="R33" s="1325"/>
      <c r="S33" s="1325"/>
      <c r="T33" s="1325"/>
      <c r="U33" s="1325"/>
      <c r="V33" s="1325"/>
      <c r="W33" s="1325"/>
      <c r="Y33" s="1030" t="s">
        <v>726</v>
      </c>
      <c r="Z33" s="1323" t="s">
        <v>894</v>
      </c>
      <c r="AA33" s="1323"/>
      <c r="AB33" s="1323"/>
      <c r="AC33" s="1323"/>
      <c r="AD33" s="1323"/>
    </row>
    <row r="34" spans="14:30">
      <c r="N34" s="1030" t="s">
        <v>640</v>
      </c>
      <c r="O34" s="1325" t="s">
        <v>867</v>
      </c>
      <c r="P34" s="1325"/>
      <c r="Q34" s="1325"/>
      <c r="R34" s="1325"/>
      <c r="S34" s="1325"/>
      <c r="T34" s="1325"/>
      <c r="U34" s="1325"/>
      <c r="V34" s="1325"/>
      <c r="W34" s="1325"/>
      <c r="Y34" s="1030" t="s">
        <v>648</v>
      </c>
      <c r="Z34" s="1323" t="s">
        <v>649</v>
      </c>
      <c r="AA34" s="1323"/>
      <c r="AB34" s="1323"/>
      <c r="AC34" s="1323"/>
      <c r="AD34" s="1323"/>
    </row>
    <row r="35" spans="14:30">
      <c r="N35" s="1030" t="s">
        <v>643</v>
      </c>
      <c r="O35" s="1325" t="s">
        <v>868</v>
      </c>
      <c r="P35" s="1325"/>
      <c r="Q35" s="1325"/>
      <c r="R35" s="1325"/>
      <c r="S35" s="1325"/>
      <c r="T35" s="1325"/>
      <c r="U35" s="1325"/>
      <c r="V35" s="1325"/>
      <c r="W35" s="1325"/>
      <c r="Y35" s="1030" t="s">
        <v>650</v>
      </c>
      <c r="Z35" s="1323" t="s">
        <v>651</v>
      </c>
      <c r="AA35" s="1323"/>
      <c r="AB35" s="1323"/>
      <c r="AC35" s="1323"/>
      <c r="AD35" s="1323"/>
    </row>
    <row r="36" spans="14:30">
      <c r="N36" s="1030" t="s">
        <v>648</v>
      </c>
      <c r="O36" s="1325" t="s">
        <v>652</v>
      </c>
      <c r="P36" s="1325"/>
      <c r="Q36" s="1325"/>
      <c r="R36" s="1325"/>
      <c r="S36" s="1325"/>
      <c r="T36" s="1325"/>
      <c r="U36" s="1325"/>
      <c r="V36" s="1325"/>
      <c r="W36" s="1325"/>
      <c r="Y36" s="1030" t="s">
        <v>653</v>
      </c>
      <c r="Z36" s="1323" t="s">
        <v>654</v>
      </c>
      <c r="AA36" s="1323"/>
      <c r="AB36" s="1323"/>
      <c r="AC36" s="1323"/>
      <c r="AD36" s="1323"/>
    </row>
    <row r="37" spans="14:30">
      <c r="N37" s="1030" t="s">
        <v>655</v>
      </c>
      <c r="O37" s="1325" t="s">
        <v>656</v>
      </c>
      <c r="P37" s="1325"/>
      <c r="Q37" s="1325"/>
      <c r="R37" s="1325"/>
      <c r="S37" s="1325"/>
      <c r="T37" s="1325"/>
      <c r="U37" s="1325"/>
      <c r="V37" s="1325"/>
      <c r="W37" s="1325"/>
      <c r="Y37" s="1030" t="s">
        <v>644</v>
      </c>
      <c r="Z37" s="1323" t="s">
        <v>645</v>
      </c>
      <c r="AA37" s="1323"/>
      <c r="AB37" s="1323"/>
      <c r="AC37" s="1323"/>
      <c r="AD37" s="1323"/>
    </row>
    <row r="38" spans="14:30">
      <c r="N38" s="1030" t="s">
        <v>650</v>
      </c>
      <c r="O38" s="1325" t="s">
        <v>657</v>
      </c>
      <c r="P38" s="1325"/>
      <c r="Q38" s="1325"/>
      <c r="R38" s="1325"/>
      <c r="S38" s="1325"/>
      <c r="T38" s="1325"/>
      <c r="U38" s="1325"/>
      <c r="V38" s="1325"/>
      <c r="W38" s="1325"/>
      <c r="Y38" s="1031" t="s">
        <v>646</v>
      </c>
      <c r="Z38" s="1324" t="s">
        <v>647</v>
      </c>
      <c r="AA38" s="1324"/>
      <c r="AB38" s="1324"/>
      <c r="AC38" s="1324"/>
      <c r="AD38" s="1324"/>
    </row>
    <row r="39" spans="14:30">
      <c r="N39" s="1031" t="s">
        <v>653</v>
      </c>
      <c r="O39" s="1322" t="s">
        <v>658</v>
      </c>
      <c r="P39" s="1322"/>
      <c r="Q39" s="1322"/>
      <c r="R39" s="1322"/>
      <c r="S39" s="1322"/>
      <c r="T39" s="1322"/>
      <c r="U39" s="1322"/>
      <c r="V39" s="1322"/>
      <c r="W39" s="1322"/>
    </row>
  </sheetData>
  <sheetProtection algorithmName="SHA-512" hashValue="VJCFyE7+37wII0WlndD2adNc3C7UYwEa0/P0WZaQ7FXrkwp6MEjs8jN+tKEmsSbzXxFHMThl3mMVn0fyHaOQ3Q==" saltValue="ISSIuRvLZwbZm/kSbu3cAw==" spinCount="100000" sheet="1" objects="1" scenarios="1"/>
  <mergeCells count="49">
    <mergeCell ref="D5:D7"/>
    <mergeCell ref="L5:L7"/>
    <mergeCell ref="E5:E7"/>
    <mergeCell ref="F5:F7"/>
    <mergeCell ref="G5:G7"/>
    <mergeCell ref="I5:I7"/>
    <mergeCell ref="K5:K7"/>
    <mergeCell ref="A5:A7"/>
    <mergeCell ref="B5:B6"/>
    <mergeCell ref="A14:B14"/>
    <mergeCell ref="A8:B8"/>
    <mergeCell ref="C5:C7"/>
    <mergeCell ref="N5:O6"/>
    <mergeCell ref="Q5:S6"/>
    <mergeCell ref="W5:Z6"/>
    <mergeCell ref="AA5:AD6"/>
    <mergeCell ref="H4:L4"/>
    <mergeCell ref="N4:AD4"/>
    <mergeCell ref="H5:H7"/>
    <mergeCell ref="M5:M7"/>
    <mergeCell ref="J5:J7"/>
    <mergeCell ref="T5:V6"/>
    <mergeCell ref="N25:W25"/>
    <mergeCell ref="O27:W27"/>
    <mergeCell ref="O28:W28"/>
    <mergeCell ref="Y25:AD25"/>
    <mergeCell ref="Z27:AD27"/>
    <mergeCell ref="Z28:AD28"/>
    <mergeCell ref="O29:W29"/>
    <mergeCell ref="O30:W30"/>
    <mergeCell ref="O32:W32"/>
    <mergeCell ref="O31:W31"/>
    <mergeCell ref="Z29:AD29"/>
    <mergeCell ref="Z30:AD30"/>
    <mergeCell ref="Z31:AD31"/>
    <mergeCell ref="Z32:AD32"/>
    <mergeCell ref="O39:W39"/>
    <mergeCell ref="Z37:AD37"/>
    <mergeCell ref="Z38:AD38"/>
    <mergeCell ref="Z36:AD36"/>
    <mergeCell ref="Z33:AD33"/>
    <mergeCell ref="O36:W36"/>
    <mergeCell ref="O37:W37"/>
    <mergeCell ref="O38:W38"/>
    <mergeCell ref="O33:W33"/>
    <mergeCell ref="O34:W34"/>
    <mergeCell ref="O35:W35"/>
    <mergeCell ref="Z34:AD34"/>
    <mergeCell ref="Z35:AD35"/>
  </mergeCells>
  <phoneticPr fontId="0" type="noConversion"/>
  <conditionalFormatting sqref="C15:C17 C10:C12">
    <cfRule type="cellIs" dxfId="585" priority="111" stopIfTrue="1" operator="notBetween">
      <formula>$C$23</formula>
      <formula>$C$24</formula>
    </cfRule>
  </conditionalFormatting>
  <conditionalFormatting sqref="D10:D12 D15:D17">
    <cfRule type="cellIs" dxfId="584" priority="92" stopIfTrue="1" operator="between">
      <formula>$D$23</formula>
      <formula>$D$24</formula>
    </cfRule>
  </conditionalFormatting>
  <conditionalFormatting sqref="E15:E17 E9:E12">
    <cfRule type="cellIs" dxfId="583" priority="99" stopIfTrue="1" operator="notBetween">
      <formula>$E$23</formula>
      <formula>$E$24</formula>
    </cfRule>
  </conditionalFormatting>
  <conditionalFormatting sqref="F15:F17 F9:F12">
    <cfRule type="cellIs" dxfId="582" priority="105" stopIfTrue="1" operator="notBetween">
      <formula>$F$23</formula>
      <formula>$F$24</formula>
    </cfRule>
  </conditionalFormatting>
  <printOptions horizontalCentered="1"/>
  <pageMargins left="0.25" right="0.25" top="0.75" bottom="0.75" header="0.3" footer="0.3"/>
  <pageSetup paperSize="9" scale="34" orientation="landscape" r:id="rId1"/>
  <headerFooter alignWithMargins="0">
    <oddFooter>&amp;CPágina &amp;P de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B8:B17"/>
  <sheetViews>
    <sheetView workbookViewId="0">
      <selection activeCell="B11" sqref="B11"/>
    </sheetView>
  </sheetViews>
  <sheetFormatPr baseColWidth="10" defaultRowHeight="12.75"/>
  <cols>
    <col min="1" max="1" width="31.42578125" customWidth="1"/>
    <col min="2" max="2" width="105.140625" customWidth="1"/>
    <col min="3" max="3" width="107.140625" customWidth="1"/>
  </cols>
  <sheetData>
    <row r="8" spans="2:2">
      <c r="B8" s="816" t="s">
        <v>419</v>
      </c>
    </row>
    <row r="9" spans="2:2">
      <c r="B9" s="466"/>
    </row>
    <row r="10" spans="2:2">
      <c r="B10" s="463"/>
    </row>
    <row r="11" spans="2:2" ht="25.5">
      <c r="B11" s="1155" t="s">
        <v>420</v>
      </c>
    </row>
    <row r="12" spans="2:2">
      <c r="B12" s="1156"/>
    </row>
    <row r="13" spans="2:2" ht="76.5">
      <c r="B13" s="1156" t="s">
        <v>421</v>
      </c>
    </row>
    <row r="14" spans="2:2">
      <c r="B14" s="1156"/>
    </row>
    <row r="15" spans="2:2" ht="51">
      <c r="B15" s="1156" t="s">
        <v>422</v>
      </c>
    </row>
    <row r="16" spans="2:2">
      <c r="B16" s="1156"/>
    </row>
    <row r="17" spans="2:2" ht="51">
      <c r="B17" s="1157" t="s">
        <v>423</v>
      </c>
    </row>
  </sheetData>
  <sheetProtection algorithmName="SHA-512" hashValue="h2VSqIlx6bXYB6kMBjc4P5OiaP4aFCfzfmywu1s/Jc/PHCKh6egfzkHevFsWjMbHWnZSGFQd692dlz5ju0uBCQ==" saltValue="NezOjc+pP/hNC0RrZaZcZQ==" spinCount="100000" sheet="1" objects="1" scenarios="1"/>
  <pageMargins left="0.7" right="0.7" top="0.75" bottom="0.75" header="0.3" footer="0.3"/>
  <pageSetup paperSize="9" scale="65"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pageSetUpPr fitToPage="1"/>
  </sheetPr>
  <dimension ref="A1:EZ27"/>
  <sheetViews>
    <sheetView zoomScale="80" zoomScaleNormal="80" workbookViewId="0">
      <pane xSplit="1" topLeftCell="B1" activePane="topRight" state="frozen"/>
      <selection pane="topRight" activeCell="A11" sqref="A11"/>
    </sheetView>
  </sheetViews>
  <sheetFormatPr baseColWidth="10" defaultColWidth="11.42578125" defaultRowHeight="12.75"/>
  <cols>
    <col min="1" max="1" width="28.5703125" style="8" bestFit="1" customWidth="1"/>
    <col min="2" max="2" width="5.7109375" style="8" customWidth="1"/>
    <col min="3" max="3" width="5.28515625" style="32" customWidth="1"/>
    <col min="4" max="4" width="4" style="8" customWidth="1"/>
    <col min="5" max="5" width="4.42578125" style="8" customWidth="1"/>
    <col min="6" max="6" width="4.7109375" style="8" customWidth="1"/>
    <col min="7" max="7" width="5.140625" style="32" customWidth="1"/>
    <col min="8" max="8" width="19.140625" style="8" customWidth="1"/>
    <col min="9" max="9" width="9.42578125" style="8" customWidth="1"/>
    <col min="10" max="10" width="8.85546875" style="8" customWidth="1"/>
    <col min="11" max="11" width="8.5703125" style="8" customWidth="1"/>
    <col min="12" max="12" width="10.85546875" style="8" customWidth="1"/>
    <col min="13" max="13" width="9.140625" style="8" customWidth="1"/>
    <col min="14" max="15" width="9" style="8" customWidth="1"/>
    <col min="16" max="16" width="9.85546875" style="8" customWidth="1"/>
    <col min="17" max="17" width="8.28515625" style="8" customWidth="1"/>
    <col min="18" max="19" width="9.28515625" style="8" customWidth="1"/>
    <col min="20" max="20" width="9" style="8" customWidth="1"/>
    <col min="21" max="21" width="8.28515625" style="8" customWidth="1"/>
    <col min="22" max="22" width="10.42578125" style="8" customWidth="1"/>
    <col min="23" max="23" width="9.140625" style="8" customWidth="1"/>
    <col min="24" max="24" width="6.5703125" style="8" customWidth="1"/>
    <col min="25" max="25" width="10.140625" style="8" customWidth="1"/>
    <col min="26" max="26" width="9.42578125" style="8" customWidth="1"/>
    <col min="27" max="27" width="9.140625" style="8" customWidth="1"/>
    <col min="28" max="28" width="9.42578125" style="8" customWidth="1"/>
    <col min="29" max="30" width="6.5703125" style="8" customWidth="1"/>
    <col min="31" max="31" width="6.28515625" style="8" customWidth="1"/>
    <col min="32" max="32" width="6.5703125" style="8" customWidth="1"/>
    <col min="33" max="33" width="9.42578125" style="8" customWidth="1"/>
    <col min="34" max="34" width="10" style="8" customWidth="1"/>
    <col min="35" max="35" width="9.7109375" style="8" customWidth="1"/>
    <col min="36" max="37" width="9.42578125" style="8" customWidth="1"/>
    <col min="38" max="38" width="9" style="8" customWidth="1"/>
    <col min="39" max="39" width="8.28515625" style="8" customWidth="1"/>
    <col min="40" max="40" width="9.42578125" style="8" customWidth="1"/>
    <col min="41" max="42" width="11.42578125" style="8"/>
    <col min="43" max="43" width="12.7109375" style="8" bestFit="1" customWidth="1"/>
    <col min="44" max="44" width="12.7109375" style="8" customWidth="1"/>
    <col min="45" max="50" width="9.42578125" style="8" customWidth="1"/>
    <col min="51" max="51" width="12.7109375" style="8" customWidth="1"/>
    <col min="52" max="56" width="11.42578125" style="8"/>
    <col min="57" max="57" width="12.28515625" style="8" bestFit="1" customWidth="1"/>
    <col min="58" max="61" width="11.42578125" style="8"/>
    <col min="62" max="62" width="9.42578125" style="8" customWidth="1"/>
    <col min="63" max="63" width="12.7109375" style="8" bestFit="1" customWidth="1"/>
    <col min="64" max="64" width="12.7109375" style="8" customWidth="1"/>
    <col min="65" max="65" width="12.7109375" style="8" bestFit="1" customWidth="1"/>
    <col min="66" max="74" width="12.7109375" style="8" customWidth="1"/>
    <col min="75" max="91" width="11.42578125" style="8"/>
    <col min="92" max="92" width="13.140625" style="8" customWidth="1"/>
    <col min="93" max="96" width="13" style="8" customWidth="1"/>
    <col min="97" max="100" width="12" style="8" customWidth="1"/>
    <col min="101" max="105" width="11.42578125" style="8"/>
    <col min="106" max="107" width="9.42578125" style="8" customWidth="1"/>
    <col min="108" max="114" width="11.42578125" style="8"/>
    <col min="115" max="115" width="12.28515625" style="8" customWidth="1"/>
    <col min="116" max="116" width="12.85546875" style="8" customWidth="1"/>
    <col min="117" max="141" width="11.42578125" style="8"/>
    <col min="142" max="144" width="11.42578125" style="639"/>
    <col min="145" max="149" width="11.42578125" style="8"/>
    <col min="150" max="151" width="11.42578125" style="639"/>
    <col min="152" max="153" width="11.42578125" style="636"/>
    <col min="154" max="16384" width="11.42578125" style="8"/>
  </cols>
  <sheetData>
    <row r="1" spans="1:156" ht="13.5" thickBot="1">
      <c r="H1" s="279" t="s">
        <v>398</v>
      </c>
      <c r="I1" s="50" t="s">
        <v>56</v>
      </c>
      <c r="J1" s="31" t="s">
        <v>47</v>
      </c>
      <c r="K1" s="30" t="s">
        <v>57</v>
      </c>
      <c r="L1" s="50" t="s">
        <v>58</v>
      </c>
      <c r="M1" s="31" t="s">
        <v>59</v>
      </c>
      <c r="N1" s="30" t="s">
        <v>60</v>
      </c>
      <c r="O1" s="50" t="s">
        <v>61</v>
      </c>
      <c r="P1" s="31" t="s">
        <v>62</v>
      </c>
      <c r="Q1" s="30" t="s">
        <v>63</v>
      </c>
      <c r="R1" s="50" t="s">
        <v>64</v>
      </c>
      <c r="S1" s="31" t="s">
        <v>65</v>
      </c>
      <c r="T1" s="30" t="s">
        <v>66</v>
      </c>
      <c r="U1" s="50" t="s">
        <v>67</v>
      </c>
      <c r="V1" s="31" t="s">
        <v>68</v>
      </c>
      <c r="W1" s="30" t="s">
        <v>69</v>
      </c>
      <c r="X1" s="50" t="s">
        <v>70</v>
      </c>
      <c r="Y1" s="31" t="s">
        <v>71</v>
      </c>
      <c r="Z1" s="30" t="s">
        <v>72</v>
      </c>
      <c r="AA1" s="50" t="s">
        <v>73</v>
      </c>
      <c r="AB1" s="31" t="s">
        <v>74</v>
      </c>
      <c r="AC1" s="30" t="s">
        <v>75</v>
      </c>
      <c r="AD1" s="50" t="s">
        <v>76</v>
      </c>
      <c r="AE1" s="31" t="s">
        <v>77</v>
      </c>
      <c r="AF1" s="30" t="s">
        <v>78</v>
      </c>
      <c r="AG1" s="50" t="s">
        <v>79</v>
      </c>
      <c r="AH1" s="31" t="s">
        <v>46</v>
      </c>
      <c r="AI1" s="30" t="s">
        <v>80</v>
      </c>
      <c r="AJ1" s="50" t="s">
        <v>81</v>
      </c>
      <c r="AK1" s="31" t="s">
        <v>82</v>
      </c>
      <c r="AL1" s="30" t="s">
        <v>83</v>
      </c>
      <c r="AM1" s="50" t="s">
        <v>84</v>
      </c>
      <c r="AN1" s="31" t="s">
        <v>158</v>
      </c>
      <c r="AO1" s="30" t="s">
        <v>85</v>
      </c>
      <c r="AP1" s="50" t="s">
        <v>88</v>
      </c>
      <c r="AQ1" s="31" t="s">
        <v>103</v>
      </c>
      <c r="AR1" s="30" t="s">
        <v>104</v>
      </c>
      <c r="AS1" s="50" t="s">
        <v>105</v>
      </c>
      <c r="AT1" s="31" t="s">
        <v>106</v>
      </c>
      <c r="AU1" s="30" t="s">
        <v>110</v>
      </c>
      <c r="AV1" s="50" t="s">
        <v>111</v>
      </c>
      <c r="AW1" s="31" t="s">
        <v>112</v>
      </c>
      <c r="AX1" s="30" t="s">
        <v>113</v>
      </c>
      <c r="AY1" s="50" t="s">
        <v>114</v>
      </c>
      <c r="AZ1" s="31" t="s">
        <v>130</v>
      </c>
      <c r="BA1" s="30" t="s">
        <v>138</v>
      </c>
      <c r="BB1" s="50" t="s">
        <v>149</v>
      </c>
      <c r="BC1" s="31" t="s">
        <v>217</v>
      </c>
      <c r="BD1" s="30" t="s">
        <v>153</v>
      </c>
      <c r="BE1" s="50" t="s">
        <v>156</v>
      </c>
      <c r="BF1" s="31" t="s">
        <v>157</v>
      </c>
      <c r="BG1" s="30" t="s">
        <v>212</v>
      </c>
      <c r="BH1" s="50" t="s">
        <v>213</v>
      </c>
      <c r="BI1" s="31" t="s">
        <v>220</v>
      </c>
      <c r="BJ1" s="30" t="s">
        <v>231</v>
      </c>
      <c r="BK1" s="50" t="s">
        <v>234</v>
      </c>
      <c r="BL1" s="31" t="s">
        <v>235</v>
      </c>
      <c r="BM1" s="30" t="s">
        <v>240</v>
      </c>
      <c r="BN1" s="50"/>
      <c r="BO1" s="31"/>
      <c r="BP1" s="30"/>
      <c r="BQ1" s="50"/>
      <c r="BR1" s="31"/>
      <c r="BS1" s="30"/>
      <c r="BT1" s="50"/>
      <c r="BU1" s="31"/>
      <c r="BV1" s="30" t="s">
        <v>283</v>
      </c>
      <c r="BW1" s="50" t="s">
        <v>284</v>
      </c>
      <c r="BX1" s="31" t="s">
        <v>289</v>
      </c>
      <c r="BY1" s="30" t="s">
        <v>291</v>
      </c>
      <c r="BZ1" s="50" t="s">
        <v>296</v>
      </c>
      <c r="CA1" s="31" t="s">
        <v>297</v>
      </c>
      <c r="CB1" s="30" t="s">
        <v>350</v>
      </c>
      <c r="CC1" s="50" t="s">
        <v>352</v>
      </c>
      <c r="CD1" s="31" t="s">
        <v>354</v>
      </c>
      <c r="CE1" s="30" t="s">
        <v>364</v>
      </c>
      <c r="CF1" s="50" t="s">
        <v>365</v>
      </c>
      <c r="CG1" s="31" t="s">
        <v>366</v>
      </c>
      <c r="CH1" s="30" t="s">
        <v>367</v>
      </c>
      <c r="CI1" s="50" t="s">
        <v>390</v>
      </c>
      <c r="CJ1" s="31" t="s">
        <v>392</v>
      </c>
      <c r="CK1" s="30" t="s">
        <v>230</v>
      </c>
      <c r="CL1" s="50" t="s">
        <v>316</v>
      </c>
      <c r="CM1" s="31" t="s">
        <v>319</v>
      </c>
      <c r="CN1" s="30" t="s">
        <v>334</v>
      </c>
      <c r="CO1" s="50" t="s">
        <v>335</v>
      </c>
      <c r="CP1" s="31" t="s">
        <v>344</v>
      </c>
      <c r="CQ1" s="30" t="s">
        <v>345</v>
      </c>
      <c r="CR1" s="31" t="s">
        <v>346</v>
      </c>
      <c r="CS1" s="30" t="s">
        <v>167</v>
      </c>
      <c r="CT1" s="31" t="s">
        <v>186</v>
      </c>
      <c r="CU1" s="30" t="s">
        <v>187</v>
      </c>
      <c r="CV1" s="31" t="s">
        <v>188</v>
      </c>
      <c r="CW1" s="30" t="s">
        <v>189</v>
      </c>
      <c r="CX1" s="31" t="s">
        <v>190</v>
      </c>
      <c r="CY1" s="30" t="s">
        <v>191</v>
      </c>
      <c r="CZ1" s="31" t="s">
        <v>192</v>
      </c>
      <c r="DA1" s="30" t="s">
        <v>193</v>
      </c>
      <c r="DB1" s="31" t="s">
        <v>194</v>
      </c>
      <c r="DC1" s="30" t="s">
        <v>198</v>
      </c>
      <c r="DD1" s="31" t="s">
        <v>199</v>
      </c>
      <c r="DE1" s="30" t="s">
        <v>408</v>
      </c>
      <c r="DF1" s="31" t="s">
        <v>43</v>
      </c>
      <c r="DG1" s="30" t="s">
        <v>446</v>
      </c>
      <c r="DM1" s="30"/>
      <c r="DN1" s="30"/>
      <c r="DO1" s="30"/>
      <c r="DP1" s="30"/>
      <c r="DQ1" s="30"/>
      <c r="DR1" s="30"/>
      <c r="DS1" s="30"/>
      <c r="DT1" s="30"/>
      <c r="DU1" s="472"/>
      <c r="DV1" s="30"/>
      <c r="DW1" s="30"/>
      <c r="DX1" s="30"/>
      <c r="DY1" s="30"/>
      <c r="DZ1" s="30"/>
      <c r="EA1" s="30"/>
    </row>
    <row r="2" spans="1:156">
      <c r="A2" s="95">
        <f>Criterios!C8</f>
        <v>0</v>
      </c>
      <c r="B2">
        <f>Criterios!B8</f>
        <v>0</v>
      </c>
    </row>
    <row r="3" spans="1:156" ht="13.5" thickBot="1">
      <c r="A3" t="str">
        <f>Criterios!A9</f>
        <v>Tribunales de Justicia</v>
      </c>
      <c r="B3" t="str">
        <f>Criterios!B9</f>
        <v>CATALUÑA</v>
      </c>
    </row>
    <row r="4" spans="1:156" ht="13.5" thickBot="1">
      <c r="A4" t="str">
        <f>Criterios!A10</f>
        <v>Provincias</v>
      </c>
      <c r="B4" t="str">
        <f>Criterios!B10</f>
        <v>BARCELONA</v>
      </c>
      <c r="CE4" s="1393" t="s">
        <v>273</v>
      </c>
      <c r="CF4" s="1394"/>
      <c r="CG4" s="1394"/>
      <c r="CH4" s="1395"/>
    </row>
    <row r="5" spans="1:156" ht="12.75" customHeight="1" thickBot="1">
      <c r="A5" s="1426" t="str">
        <f>"Año:  " &amp;Criterios!B5 &amp; "                  Trimestre   " &amp;Criterios!D5 &amp; " al " &amp;Criterios!D6</f>
        <v>Año:  2025                  Trimestre   4 al 4</v>
      </c>
      <c r="B5" s="1428" t="s">
        <v>399</v>
      </c>
      <c r="C5" s="1431" t="s">
        <v>33</v>
      </c>
      <c r="D5" s="1437" t="s">
        <v>24</v>
      </c>
      <c r="E5" s="1438"/>
      <c r="F5" s="1438"/>
      <c r="G5" s="1438"/>
      <c r="H5" s="1439"/>
      <c r="I5" s="1443" t="s">
        <v>52</v>
      </c>
      <c r="J5" s="1444"/>
      <c r="K5" s="1444"/>
      <c r="L5" s="1444"/>
      <c r="M5" s="1444"/>
      <c r="N5" s="1444"/>
      <c r="O5" s="1444"/>
      <c r="P5" s="1444"/>
      <c r="Q5" s="1444"/>
      <c r="R5" s="1444"/>
      <c r="S5" s="1444"/>
      <c r="T5" s="1444"/>
      <c r="U5" s="1444"/>
      <c r="V5" s="1444"/>
      <c r="W5" s="1444"/>
      <c r="X5" s="1444"/>
      <c r="Y5" s="1444"/>
      <c r="Z5" s="1444"/>
      <c r="AA5" s="1444"/>
      <c r="AB5" s="1444"/>
      <c r="AC5" s="1444"/>
      <c r="AD5" s="1444"/>
      <c r="AE5" s="1444"/>
      <c r="AF5" s="1444"/>
      <c r="AG5" s="1444"/>
      <c r="AH5" s="1444"/>
      <c r="AI5" s="1444"/>
      <c r="AJ5" s="1444"/>
      <c r="AK5" s="1444"/>
      <c r="AL5" s="1444"/>
      <c r="AM5" s="1444"/>
      <c r="AN5" s="1444"/>
      <c r="AO5" s="1399" t="s">
        <v>131</v>
      </c>
      <c r="AP5" s="1399" t="s">
        <v>132</v>
      </c>
      <c r="AQ5" s="1399" t="s">
        <v>89</v>
      </c>
      <c r="AR5" s="1399" t="s">
        <v>133</v>
      </c>
      <c r="AS5" s="1411" t="s">
        <v>154</v>
      </c>
      <c r="AT5" s="1411" t="s">
        <v>155</v>
      </c>
      <c r="AU5" s="1411" t="s">
        <v>238</v>
      </c>
      <c r="AV5" s="1411" t="s">
        <v>236</v>
      </c>
      <c r="AW5" s="1411" t="s">
        <v>239</v>
      </c>
      <c r="AX5" s="1411" t="s">
        <v>237</v>
      </c>
      <c r="AY5" s="1405" t="s">
        <v>108</v>
      </c>
      <c r="AZ5" s="1465"/>
      <c r="BA5" s="1465"/>
      <c r="BB5" s="1465"/>
      <c r="BC5" s="1466"/>
      <c r="BD5" s="1405" t="s">
        <v>109</v>
      </c>
      <c r="BE5" s="1406"/>
      <c r="BF5" s="1406"/>
      <c r="BG5" s="1407"/>
      <c r="BH5" s="1399" t="s">
        <v>147</v>
      </c>
      <c r="BI5" s="1399" t="s">
        <v>148</v>
      </c>
      <c r="BJ5" s="1462" t="s">
        <v>211</v>
      </c>
      <c r="BK5" s="1416" t="s">
        <v>214</v>
      </c>
      <c r="BL5" s="1416" t="s">
        <v>221</v>
      </c>
      <c r="BM5" s="1459" t="s">
        <v>317</v>
      </c>
      <c r="BN5" s="1246"/>
      <c r="BO5" s="1247"/>
      <c r="BP5" s="1246"/>
      <c r="BQ5" s="1247"/>
      <c r="BR5" s="1246"/>
      <c r="BS5" s="1247"/>
      <c r="BT5" s="1246"/>
      <c r="BU5" s="1247"/>
      <c r="BV5" s="1413" t="s">
        <v>272</v>
      </c>
      <c r="BW5" s="1419" t="s">
        <v>252</v>
      </c>
      <c r="BX5" s="1419" t="s">
        <v>253</v>
      </c>
      <c r="BY5" s="1402" t="s">
        <v>259</v>
      </c>
      <c r="BZ5" s="1402" t="s">
        <v>349</v>
      </c>
      <c r="CA5" s="1422" t="s">
        <v>288</v>
      </c>
      <c r="CB5" s="1422" t="s">
        <v>279</v>
      </c>
      <c r="CC5" s="1422" t="s">
        <v>280</v>
      </c>
      <c r="CD5" s="1422" t="s">
        <v>281</v>
      </c>
      <c r="CE5" s="1396" t="s">
        <v>292</v>
      </c>
      <c r="CF5" s="1396" t="s">
        <v>271</v>
      </c>
      <c r="CG5" s="1396" t="s">
        <v>269</v>
      </c>
      <c r="CH5" s="1396" t="s">
        <v>270</v>
      </c>
      <c r="CI5" s="1476" t="s">
        <v>294</v>
      </c>
      <c r="CJ5" s="1476" t="s">
        <v>295</v>
      </c>
      <c r="CK5" s="1383" t="s">
        <v>425</v>
      </c>
      <c r="CL5" s="1383" t="s">
        <v>426</v>
      </c>
      <c r="CM5" s="1383" t="s">
        <v>443</v>
      </c>
      <c r="CN5" s="1423" t="s">
        <v>370</v>
      </c>
      <c r="CO5" s="1423" t="s">
        <v>363</v>
      </c>
      <c r="CP5" s="1423" t="s">
        <v>369</v>
      </c>
      <c r="CQ5" s="1456" t="s">
        <v>368</v>
      </c>
      <c r="CR5" s="1456" t="s">
        <v>368</v>
      </c>
      <c r="CS5" s="1396" t="s">
        <v>388</v>
      </c>
      <c r="CT5" s="1396" t="s">
        <v>391</v>
      </c>
      <c r="CU5" s="1396" t="s">
        <v>229</v>
      </c>
      <c r="CV5" s="1396" t="s">
        <v>313</v>
      </c>
      <c r="CW5" s="1396" t="s">
        <v>333</v>
      </c>
      <c r="CX5" s="1396" t="s">
        <v>340</v>
      </c>
      <c r="CY5" s="1396" t="s">
        <v>436</v>
      </c>
      <c r="CZ5" s="1396" t="s">
        <v>437</v>
      </c>
      <c r="DA5" s="1396" t="s">
        <v>438</v>
      </c>
      <c r="DB5" s="1371" t="s">
        <v>195</v>
      </c>
      <c r="DC5" s="1371" t="s">
        <v>196</v>
      </c>
      <c r="DD5" s="1371" t="s">
        <v>197</v>
      </c>
      <c r="DE5" s="1387" t="s">
        <v>168</v>
      </c>
      <c r="DF5" s="1387" t="s">
        <v>407</v>
      </c>
      <c r="DG5" s="1396" t="s">
        <v>444</v>
      </c>
      <c r="DH5" s="1383" t="s">
        <v>425</v>
      </c>
      <c r="DI5" s="1383" t="s">
        <v>426</v>
      </c>
      <c r="DJ5" s="1383" t="s">
        <v>442</v>
      </c>
      <c r="DK5" s="1383" t="s">
        <v>476</v>
      </c>
      <c r="DL5" s="1383" t="s">
        <v>480</v>
      </c>
      <c r="DM5" s="1386" t="s">
        <v>525</v>
      </c>
      <c r="DN5" s="1386" t="s">
        <v>526</v>
      </c>
      <c r="DO5" s="1386" t="s">
        <v>527</v>
      </c>
      <c r="DP5" s="1386" t="s">
        <v>528</v>
      </c>
      <c r="DQ5" s="1386" t="s">
        <v>529</v>
      </c>
      <c r="DR5" s="1386" t="s">
        <v>530</v>
      </c>
      <c r="DS5" s="1386" t="s">
        <v>531</v>
      </c>
      <c r="DT5" s="1386" t="s">
        <v>532</v>
      </c>
      <c r="DU5" s="1365" t="s">
        <v>533</v>
      </c>
      <c r="DV5" s="1365" t="s">
        <v>534</v>
      </c>
      <c r="DW5" s="1362" t="s">
        <v>535</v>
      </c>
      <c r="DX5" s="1386" t="s">
        <v>536</v>
      </c>
      <c r="DY5" s="1359" t="s">
        <v>537</v>
      </c>
      <c r="DZ5" s="1362" t="s">
        <v>538</v>
      </c>
      <c r="EA5" s="1359" t="s">
        <v>539</v>
      </c>
      <c r="EB5" s="1390" t="s">
        <v>583</v>
      </c>
      <c r="EC5" s="1390" t="s">
        <v>584</v>
      </c>
      <c r="ED5" s="1390" t="s">
        <v>585</v>
      </c>
      <c r="EE5" s="1390" t="s">
        <v>618</v>
      </c>
      <c r="EF5" s="1390" t="s">
        <v>622</v>
      </c>
      <c r="EG5" s="1359" t="s">
        <v>620</v>
      </c>
      <c r="EH5" s="1359" t="s">
        <v>621</v>
      </c>
      <c r="EI5" s="1359" t="s">
        <v>587</v>
      </c>
      <c r="EJ5" s="1359" t="s">
        <v>588</v>
      </c>
      <c r="EK5" s="1374" t="s">
        <v>665</v>
      </c>
      <c r="EL5" s="1377" t="s">
        <v>681</v>
      </c>
      <c r="EM5" s="1378"/>
      <c r="EN5" s="1379"/>
      <c r="EO5" s="1371" t="s">
        <v>737</v>
      </c>
      <c r="EP5" s="1371" t="s">
        <v>739</v>
      </c>
      <c r="EQ5" s="1371" t="s">
        <v>740</v>
      </c>
      <c r="ER5" s="1371" t="s">
        <v>745</v>
      </c>
      <c r="ES5" s="1371" t="s">
        <v>750</v>
      </c>
      <c r="ET5" s="1368" t="s">
        <v>810</v>
      </c>
      <c r="EU5" s="1368" t="s">
        <v>811</v>
      </c>
      <c r="EV5" s="1482" t="s">
        <v>827</v>
      </c>
      <c r="EW5" s="1482" t="s">
        <v>832</v>
      </c>
      <c r="EX5" s="1479" t="s">
        <v>844</v>
      </c>
      <c r="EY5" s="1473" t="s">
        <v>849</v>
      </c>
      <c r="EZ5" s="1470" t="s">
        <v>893</v>
      </c>
    </row>
    <row r="6" spans="1:156" ht="24.75" customHeight="1" thickBot="1">
      <c r="A6" s="1427"/>
      <c r="B6" s="1429"/>
      <c r="C6" s="1432"/>
      <c r="D6" s="1440"/>
      <c r="E6" s="1441"/>
      <c r="F6" s="1441"/>
      <c r="G6" s="1441"/>
      <c r="H6" s="1442"/>
      <c r="I6" s="1445" t="s">
        <v>5</v>
      </c>
      <c r="J6" s="1446"/>
      <c r="K6" s="1446"/>
      <c r="L6" s="1446"/>
      <c r="M6" s="1446"/>
      <c r="N6" s="1446"/>
      <c r="O6" s="1447"/>
      <c r="P6" s="1434" t="s">
        <v>15</v>
      </c>
      <c r="Q6" s="1435"/>
      <c r="R6" s="1436"/>
      <c r="S6" s="1445" t="s">
        <v>107</v>
      </c>
      <c r="T6" s="1446"/>
      <c r="U6" s="1446"/>
      <c r="V6" s="1446"/>
      <c r="W6" s="1448"/>
      <c r="X6" s="1449"/>
      <c r="Y6" s="1450" t="s">
        <v>30</v>
      </c>
      <c r="Z6" s="1451"/>
      <c r="AA6" s="1451"/>
      <c r="AB6" s="1452"/>
      <c r="AC6" s="1450" t="s">
        <v>31</v>
      </c>
      <c r="AD6" s="1451"/>
      <c r="AE6" s="1451"/>
      <c r="AF6" s="1455"/>
      <c r="AG6" s="1434" t="s">
        <v>53</v>
      </c>
      <c r="AH6" s="1435"/>
      <c r="AI6" s="1435"/>
      <c r="AJ6" s="1436"/>
      <c r="AK6" s="1453" t="s">
        <v>54</v>
      </c>
      <c r="AL6" s="1435"/>
      <c r="AM6" s="1435"/>
      <c r="AN6" s="1454"/>
      <c r="AO6" s="1400"/>
      <c r="AP6" s="1400"/>
      <c r="AQ6" s="1400"/>
      <c r="AR6" s="1400"/>
      <c r="AS6" s="1372"/>
      <c r="AT6" s="1372"/>
      <c r="AU6" s="1372"/>
      <c r="AV6" s="1372"/>
      <c r="AW6" s="1372"/>
      <c r="AX6" s="1372"/>
      <c r="AY6" s="1467"/>
      <c r="AZ6" s="1468"/>
      <c r="BA6" s="1468"/>
      <c r="BB6" s="1468"/>
      <c r="BC6" s="1469"/>
      <c r="BD6" s="1408"/>
      <c r="BE6" s="1409"/>
      <c r="BF6" s="1409"/>
      <c r="BG6" s="1410"/>
      <c r="BH6" s="1400"/>
      <c r="BI6" s="1400"/>
      <c r="BJ6" s="1463"/>
      <c r="BK6" s="1417"/>
      <c r="BL6" s="1417"/>
      <c r="BM6" s="1460"/>
      <c r="BN6" s="1244"/>
      <c r="BO6" s="1244"/>
      <c r="BP6" s="1244"/>
      <c r="BQ6" s="1244"/>
      <c r="BR6" s="1244"/>
      <c r="BS6" s="1244"/>
      <c r="BT6" s="1244"/>
      <c r="BU6" s="1244"/>
      <c r="BV6" s="1414"/>
      <c r="BW6" s="1420"/>
      <c r="BX6" s="1420"/>
      <c r="BY6" s="1403"/>
      <c r="BZ6" s="1403"/>
      <c r="CA6" s="1397"/>
      <c r="CB6" s="1397"/>
      <c r="CC6" s="1397"/>
      <c r="CD6" s="1397"/>
      <c r="CE6" s="1397"/>
      <c r="CF6" s="1397"/>
      <c r="CG6" s="1397"/>
      <c r="CH6" s="1397"/>
      <c r="CI6" s="1477"/>
      <c r="CJ6" s="1477"/>
      <c r="CK6" s="1384"/>
      <c r="CL6" s="1384"/>
      <c r="CM6" s="1384"/>
      <c r="CN6" s="1424"/>
      <c r="CO6" s="1424"/>
      <c r="CP6" s="1424"/>
      <c r="CQ6" s="1457"/>
      <c r="CR6" s="1457"/>
      <c r="CS6" s="1397"/>
      <c r="CT6" s="1397"/>
      <c r="CU6" s="1397"/>
      <c r="CV6" s="1397"/>
      <c r="CW6" s="1397"/>
      <c r="CX6" s="1397"/>
      <c r="CY6" s="1397"/>
      <c r="CZ6" s="1397"/>
      <c r="DA6" s="1397"/>
      <c r="DB6" s="1372"/>
      <c r="DC6" s="1372"/>
      <c r="DD6" s="1372"/>
      <c r="DE6" s="1388"/>
      <c r="DF6" s="1388"/>
      <c r="DG6" s="1397"/>
      <c r="DH6" s="1384"/>
      <c r="DI6" s="1384"/>
      <c r="DJ6" s="1384"/>
      <c r="DK6" s="1384"/>
      <c r="DL6" s="1384"/>
      <c r="DM6" s="1293"/>
      <c r="DN6" s="1293"/>
      <c r="DO6" s="1293"/>
      <c r="DP6" s="1293"/>
      <c r="DQ6" s="1293"/>
      <c r="DR6" s="1293"/>
      <c r="DS6" s="1293"/>
      <c r="DT6" s="1293"/>
      <c r="DU6" s="1366"/>
      <c r="DV6" s="1366"/>
      <c r="DW6" s="1363"/>
      <c r="DX6" s="1293"/>
      <c r="DY6" s="1360"/>
      <c r="DZ6" s="1363"/>
      <c r="EA6" s="1360"/>
      <c r="EB6" s="1391"/>
      <c r="EC6" s="1391"/>
      <c r="ED6" s="1391"/>
      <c r="EE6" s="1391"/>
      <c r="EF6" s="1391"/>
      <c r="EG6" s="1360"/>
      <c r="EH6" s="1360"/>
      <c r="EI6" s="1360"/>
      <c r="EJ6" s="1360"/>
      <c r="EK6" s="1375"/>
      <c r="EL6" s="1380"/>
      <c r="EM6" s="1381"/>
      <c r="EN6" s="1382"/>
      <c r="EO6" s="1372"/>
      <c r="EP6" s="1372"/>
      <c r="EQ6" s="1372"/>
      <c r="ER6" s="1372"/>
      <c r="ES6" s="1372"/>
      <c r="ET6" s="1369"/>
      <c r="EU6" s="1369"/>
      <c r="EV6" s="1483"/>
      <c r="EW6" s="1483"/>
      <c r="EX6" s="1480"/>
      <c r="EY6" s="1474"/>
      <c r="EZ6" s="1471"/>
    </row>
    <row r="7" spans="1:156" ht="87" customHeight="1" thickBot="1">
      <c r="A7" s="69" t="s">
        <v>736</v>
      </c>
      <c r="B7" s="1430"/>
      <c r="C7" s="1433"/>
      <c r="D7" s="66" t="s">
        <v>400</v>
      </c>
      <c r="E7" s="67" t="s">
        <v>126</v>
      </c>
      <c r="F7" s="67" t="s">
        <v>125</v>
      </c>
      <c r="G7" s="121" t="s">
        <v>35</v>
      </c>
      <c r="H7" s="122" t="s">
        <v>401</v>
      </c>
      <c r="I7" s="9" t="s">
        <v>18</v>
      </c>
      <c r="J7" s="10" t="s">
        <v>13</v>
      </c>
      <c r="K7" s="10" t="s">
        <v>9</v>
      </c>
      <c r="L7" s="11" t="s">
        <v>19</v>
      </c>
      <c r="M7" s="9" t="s">
        <v>7</v>
      </c>
      <c r="N7" s="10" t="s">
        <v>8</v>
      </c>
      <c r="O7" s="158" t="s">
        <v>223</v>
      </c>
      <c r="P7" s="9" t="s">
        <v>10</v>
      </c>
      <c r="Q7" s="10" t="s">
        <v>16</v>
      </c>
      <c r="R7" s="12" t="s">
        <v>17</v>
      </c>
      <c r="S7" s="9" t="s">
        <v>18</v>
      </c>
      <c r="T7" s="56" t="s">
        <v>13</v>
      </c>
      <c r="U7" s="10" t="s">
        <v>9</v>
      </c>
      <c r="V7" s="11" t="s">
        <v>23</v>
      </c>
      <c r="W7" s="53" t="s">
        <v>7</v>
      </c>
      <c r="X7" s="55" t="s">
        <v>8</v>
      </c>
      <c r="Y7" s="53" t="s">
        <v>18</v>
      </c>
      <c r="Z7" s="54" t="s">
        <v>13</v>
      </c>
      <c r="AA7" s="54" t="s">
        <v>9</v>
      </c>
      <c r="AB7" s="55" t="s">
        <v>19</v>
      </c>
      <c r="AC7" s="53" t="s">
        <v>18</v>
      </c>
      <c r="AD7" s="54" t="s">
        <v>13</v>
      </c>
      <c r="AE7" s="54" t="s">
        <v>9</v>
      </c>
      <c r="AF7" s="96" t="s">
        <v>19</v>
      </c>
      <c r="AG7" s="9" t="s">
        <v>18</v>
      </c>
      <c r="AH7" s="10" t="s">
        <v>13</v>
      </c>
      <c r="AI7" s="10" t="s">
        <v>9</v>
      </c>
      <c r="AJ7" s="12" t="s">
        <v>19</v>
      </c>
      <c r="AK7" s="56" t="s">
        <v>18</v>
      </c>
      <c r="AL7" s="10" t="s">
        <v>13</v>
      </c>
      <c r="AM7" s="10" t="s">
        <v>9</v>
      </c>
      <c r="AN7" s="11" t="s">
        <v>19</v>
      </c>
      <c r="AO7" s="1401"/>
      <c r="AP7" s="1401"/>
      <c r="AQ7" s="1401"/>
      <c r="AR7" s="1401"/>
      <c r="AS7" s="1373"/>
      <c r="AT7" s="1412"/>
      <c r="AU7" s="1412"/>
      <c r="AV7" s="1412"/>
      <c r="AW7" s="1412"/>
      <c r="AX7" s="1412"/>
      <c r="AY7" s="97" t="s">
        <v>18</v>
      </c>
      <c r="AZ7" s="98" t="s">
        <v>13</v>
      </c>
      <c r="BA7" s="98" t="s">
        <v>9</v>
      </c>
      <c r="BB7" s="98" t="s">
        <v>23</v>
      </c>
      <c r="BC7" s="99" t="s">
        <v>7</v>
      </c>
      <c r="BD7" s="97" t="s">
        <v>9</v>
      </c>
      <c r="BE7" s="98" t="s">
        <v>17</v>
      </c>
      <c r="BF7" s="98" t="s">
        <v>97</v>
      </c>
      <c r="BG7" s="99" t="s">
        <v>98</v>
      </c>
      <c r="BH7" s="1401"/>
      <c r="BI7" s="1401"/>
      <c r="BJ7" s="1464"/>
      <c r="BK7" s="1418"/>
      <c r="BL7" s="1418"/>
      <c r="BM7" s="1461"/>
      <c r="BN7" s="1245"/>
      <c r="BO7" s="1245"/>
      <c r="BP7" s="1245"/>
      <c r="BQ7" s="1245"/>
      <c r="BR7" s="1245"/>
      <c r="BS7" s="1245"/>
      <c r="BT7" s="1245"/>
      <c r="BU7" s="1245"/>
      <c r="BV7" s="1415"/>
      <c r="BW7" s="1421"/>
      <c r="BX7" s="1421"/>
      <c r="BY7" s="1404"/>
      <c r="BZ7" s="1404"/>
      <c r="CA7" s="1398"/>
      <c r="CB7" s="1398"/>
      <c r="CC7" s="1398"/>
      <c r="CD7" s="1398"/>
      <c r="CE7" s="1398"/>
      <c r="CF7" s="1398"/>
      <c r="CG7" s="1398"/>
      <c r="CH7" s="1398"/>
      <c r="CI7" s="1478"/>
      <c r="CJ7" s="1478"/>
      <c r="CK7" s="1385"/>
      <c r="CL7" s="1385"/>
      <c r="CM7" s="1385"/>
      <c r="CN7" s="1425"/>
      <c r="CO7" s="1425"/>
      <c r="CP7" s="1425"/>
      <c r="CQ7" s="1458"/>
      <c r="CR7" s="1458"/>
      <c r="CS7" s="1398"/>
      <c r="CT7" s="1398"/>
      <c r="CU7" s="1398"/>
      <c r="CV7" s="1398"/>
      <c r="CW7" s="1398"/>
      <c r="CX7" s="1398"/>
      <c r="CY7" s="1398"/>
      <c r="CZ7" s="1398"/>
      <c r="DA7" s="1398"/>
      <c r="DB7" s="1373"/>
      <c r="DC7" s="1373"/>
      <c r="DD7" s="1373"/>
      <c r="DE7" s="1389"/>
      <c r="DF7" s="1389"/>
      <c r="DG7" s="1398"/>
      <c r="DH7" s="1385"/>
      <c r="DI7" s="1385"/>
      <c r="DJ7" s="1385"/>
      <c r="DK7" s="1385"/>
      <c r="DL7" s="1385"/>
      <c r="DM7" s="1294"/>
      <c r="DN7" s="1294"/>
      <c r="DO7" s="1294"/>
      <c r="DP7" s="1294"/>
      <c r="DQ7" s="1294"/>
      <c r="DR7" s="1294"/>
      <c r="DS7" s="1294"/>
      <c r="DT7" s="1294"/>
      <c r="DU7" s="1367"/>
      <c r="DV7" s="1367"/>
      <c r="DW7" s="1364"/>
      <c r="DX7" s="1294"/>
      <c r="DY7" s="1361"/>
      <c r="DZ7" s="1364"/>
      <c r="EA7" s="1361"/>
      <c r="EB7" s="1392"/>
      <c r="EC7" s="1392"/>
      <c r="ED7" s="1392"/>
      <c r="EE7" s="1392"/>
      <c r="EF7" s="1392"/>
      <c r="EG7" s="1361"/>
      <c r="EH7" s="1361"/>
      <c r="EI7" s="1361"/>
      <c r="EJ7" s="1361"/>
      <c r="EK7" s="1376"/>
      <c r="EL7" s="640" t="s">
        <v>682</v>
      </c>
      <c r="EM7" s="640" t="s">
        <v>95</v>
      </c>
      <c r="EN7" s="640" t="s">
        <v>96</v>
      </c>
      <c r="EO7" s="1373"/>
      <c r="EP7" s="1373"/>
      <c r="EQ7" s="1373"/>
      <c r="ER7" s="1373"/>
      <c r="ES7" s="1373"/>
      <c r="ET7" s="1370"/>
      <c r="EU7" s="1370"/>
      <c r="EV7" s="1484"/>
      <c r="EW7" s="1484"/>
      <c r="EX7" s="1481"/>
      <c r="EY7" s="1475"/>
      <c r="EZ7" s="1472"/>
    </row>
    <row r="8" spans="1:156" ht="14.25" customHeight="1" thickBot="1">
      <c r="A8" s="70" t="s">
        <v>102</v>
      </c>
      <c r="B8" s="137" t="s">
        <v>402</v>
      </c>
      <c r="C8" s="138" t="s">
        <v>2</v>
      </c>
      <c r="D8" s="13"/>
      <c r="E8" s="14"/>
      <c r="F8" s="14"/>
      <c r="G8" s="15"/>
      <c r="H8" s="16"/>
      <c r="I8" s="50"/>
      <c r="J8" s="31"/>
      <c r="K8" s="30"/>
      <c r="L8" s="31"/>
      <c r="M8" s="30"/>
      <c r="N8" s="31"/>
      <c r="O8" s="30"/>
      <c r="P8" s="31"/>
      <c r="Q8" s="30"/>
      <c r="R8" s="31"/>
      <c r="S8" s="30"/>
      <c r="T8" s="31"/>
      <c r="U8" s="30"/>
      <c r="V8" s="31"/>
      <c r="W8" s="30"/>
      <c r="X8" s="31"/>
      <c r="Y8" s="30"/>
      <c r="Z8" s="31"/>
      <c r="AA8" s="30"/>
      <c r="AB8" s="31"/>
      <c r="AC8" s="30"/>
      <c r="AD8" s="31"/>
      <c r="AE8" s="30"/>
      <c r="AF8" s="31"/>
      <c r="AG8" s="30"/>
      <c r="AH8" s="31"/>
      <c r="AI8" s="30"/>
      <c r="AJ8" s="31"/>
      <c r="AK8" s="30"/>
      <c r="AL8" s="31"/>
      <c r="AM8" s="30"/>
      <c r="AN8" s="31"/>
      <c r="AO8" s="30"/>
      <c r="AP8" s="31"/>
      <c r="AQ8" s="30"/>
      <c r="AR8" s="31"/>
      <c r="AS8" s="30"/>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289"/>
      <c r="CW8" s="289"/>
      <c r="CX8" s="289"/>
      <c r="CY8" s="289"/>
      <c r="CZ8" s="289"/>
      <c r="DA8" s="289"/>
      <c r="DB8" s="30"/>
      <c r="DC8" s="31"/>
      <c r="DD8" s="289"/>
      <c r="DE8" s="289"/>
      <c r="DF8" s="289"/>
      <c r="DG8" s="50">
        <v>111</v>
      </c>
      <c r="DH8" s="50" t="s">
        <v>453</v>
      </c>
      <c r="DI8" s="50" t="s">
        <v>454</v>
      </c>
      <c r="DJ8" s="469" t="s">
        <v>455</v>
      </c>
      <c r="DK8" s="469" t="s">
        <v>477</v>
      </c>
      <c r="DL8" s="469" t="s">
        <v>478</v>
      </c>
      <c r="DM8" s="469" t="s">
        <v>540</v>
      </c>
      <c r="DN8" s="469" t="s">
        <v>541</v>
      </c>
      <c r="DO8" s="469" t="s">
        <v>542</v>
      </c>
      <c r="DP8" s="469" t="s">
        <v>543</v>
      </c>
      <c r="DQ8" s="469" t="s">
        <v>544</v>
      </c>
      <c r="DR8" s="469" t="s">
        <v>545</v>
      </c>
      <c r="DS8" s="469" t="s">
        <v>546</v>
      </c>
      <c r="DT8" s="469" t="s">
        <v>547</v>
      </c>
      <c r="DU8" s="473" t="s">
        <v>548</v>
      </c>
      <c r="DV8" s="469" t="s">
        <v>549</v>
      </c>
      <c r="DW8" s="469" t="s">
        <v>550</v>
      </c>
      <c r="DX8" s="469" t="s">
        <v>551</v>
      </c>
      <c r="DY8" s="469" t="s">
        <v>552</v>
      </c>
      <c r="DZ8" s="469" t="s">
        <v>553</v>
      </c>
      <c r="EA8" s="469" t="s">
        <v>554</v>
      </c>
      <c r="EB8" s="469" t="s">
        <v>595</v>
      </c>
      <c r="EC8" s="469" t="s">
        <v>596</v>
      </c>
      <c r="ED8" s="469" t="s">
        <v>597</v>
      </c>
      <c r="EE8" s="469" t="s">
        <v>598</v>
      </c>
      <c r="EF8" s="469" t="s">
        <v>599</v>
      </c>
      <c r="EG8" s="469" t="s">
        <v>600</v>
      </c>
      <c r="EH8" s="469" t="s">
        <v>601</v>
      </c>
      <c r="EI8" s="469" t="s">
        <v>602</v>
      </c>
      <c r="EJ8" s="469" t="s">
        <v>603</v>
      </c>
      <c r="EK8" s="469" t="s">
        <v>666</v>
      </c>
      <c r="EL8" s="641" t="s">
        <v>683</v>
      </c>
      <c r="EM8" s="641" t="s">
        <v>684</v>
      </c>
      <c r="EN8" s="641" t="s">
        <v>685</v>
      </c>
      <c r="EO8" s="50" t="s">
        <v>738</v>
      </c>
      <c r="EP8" s="50" t="s">
        <v>743</v>
      </c>
      <c r="EQ8" s="469" t="s">
        <v>744</v>
      </c>
      <c r="ER8" s="469">
        <v>148</v>
      </c>
      <c r="ES8" s="469" t="s">
        <v>751</v>
      </c>
      <c r="ET8" s="1140" t="s">
        <v>812</v>
      </c>
      <c r="EU8" s="1140" t="s">
        <v>813</v>
      </c>
      <c r="EV8" s="151" t="s">
        <v>821</v>
      </c>
      <c r="EW8" s="151">
        <v>153</v>
      </c>
      <c r="EX8" s="469" t="s">
        <v>843</v>
      </c>
      <c r="EY8" s="469" t="s">
        <v>848</v>
      </c>
      <c r="EZ8" s="469" t="s">
        <v>892</v>
      </c>
    </row>
    <row r="9" spans="1:156" ht="14.25" customHeight="1">
      <c r="A9" s="20" t="s">
        <v>45</v>
      </c>
      <c r="B9" s="21" t="s">
        <v>402</v>
      </c>
      <c r="C9" s="22" t="s">
        <v>3</v>
      </c>
      <c r="D9" s="23" t="s">
        <v>20</v>
      </c>
      <c r="E9" s="21" t="s">
        <v>21</v>
      </c>
      <c r="F9" s="21">
        <v>32</v>
      </c>
      <c r="G9" s="6"/>
      <c r="H9" s="136" t="s">
        <v>245</v>
      </c>
      <c r="I9" s="179" t="s">
        <v>798</v>
      </c>
      <c r="J9" s="180" t="s">
        <v>792</v>
      </c>
      <c r="K9" s="180" t="s">
        <v>839</v>
      </c>
      <c r="L9" s="180" t="s">
        <v>802</v>
      </c>
      <c r="M9" s="180" t="s">
        <v>490</v>
      </c>
      <c r="N9" s="180" t="s">
        <v>505</v>
      </c>
      <c r="O9" s="180" t="s">
        <v>224</v>
      </c>
      <c r="P9" s="180" t="s">
        <v>39</v>
      </c>
      <c r="Q9" s="180" t="s">
        <v>40</v>
      </c>
      <c r="R9" s="180" t="s">
        <v>91</v>
      </c>
      <c r="S9" s="180"/>
      <c r="T9" s="180"/>
      <c r="U9" s="180"/>
      <c r="V9" s="180"/>
      <c r="W9" s="180"/>
      <c r="X9" s="187"/>
      <c r="Y9" s="190" t="s">
        <v>134</v>
      </c>
      <c r="Z9" s="180" t="s">
        <v>135</v>
      </c>
      <c r="AA9" s="180" t="s">
        <v>136</v>
      </c>
      <c r="AB9" s="180" t="s">
        <v>137</v>
      </c>
      <c r="AC9" s="180"/>
      <c r="AD9" s="180"/>
      <c r="AE9" s="180"/>
      <c r="AF9" s="187"/>
      <c r="AG9" s="190"/>
      <c r="AH9" s="180"/>
      <c r="AI9" s="180"/>
      <c r="AJ9" s="191"/>
      <c r="AK9" s="179"/>
      <c r="AL9" s="180"/>
      <c r="AM9" s="180"/>
      <c r="AN9" s="187"/>
      <c r="AO9" s="257">
        <v>0</v>
      </c>
      <c r="AP9" s="153">
        <v>0</v>
      </c>
      <c r="AQ9" s="153">
        <v>0</v>
      </c>
      <c r="AR9" s="192">
        <v>0</v>
      </c>
      <c r="AS9" s="337" t="s">
        <v>791</v>
      </c>
      <c r="AT9" s="194"/>
      <c r="AU9" s="193"/>
      <c r="AV9" s="194"/>
      <c r="AW9" s="193"/>
      <c r="AX9" s="194"/>
      <c r="AY9" s="123">
        <f>IF(ISNUMBER(IF(J_V="SI",S9,S9+AG9)),IF(J_V="SI",S9,S9+AG9)," - ")</f>
        <v>0</v>
      </c>
      <c r="AZ9" s="123">
        <f>IF(ISNUMBER(IF(J_V="SI",T9,T9+AH9)),IF(J_V="SI",T9,T9+AH9)," - ")</f>
        <v>0</v>
      </c>
      <c r="BA9" s="124">
        <f>IF(ISNUMBER(IF(J_V="SI",U9,U9+AI9)),IF(J_V="SI",U9,U9+AI9)," - ")</f>
        <v>0</v>
      </c>
      <c r="BB9" s="124">
        <f>IF(ISNUMBER(IF(J_V="SI",V9,V9+AJ9)),IF(J_V="SI",V9,V9+AJ9)," - ")</f>
        <v>0</v>
      </c>
      <c r="BC9" s="125" t="str">
        <f>IF(ISNUMBER(X9),X9," - ")</f>
        <v xml:space="preserve"> - </v>
      </c>
      <c r="BD9" s="126" t="str">
        <f>IF(ISNUMBER(BA9/AZ9),BA9/AZ9," - ")</f>
        <v xml:space="preserve"> - </v>
      </c>
      <c r="BE9" s="127" t="str">
        <f>IF(ISNUMBER(BB9/BA9),BB9/BA9, " - ")</f>
        <v xml:space="preserve"> - </v>
      </c>
      <c r="BF9" s="127" t="str">
        <f>IF(ISNUMBER(BC9/BA9),BC9/BA9, " - ")</f>
        <v xml:space="preserve"> - </v>
      </c>
      <c r="BG9" s="195" t="str">
        <f>IF(ISNUMBER((AY9+AZ9)/BA9),(AY9+AZ9)/BA9," - ")</f>
        <v xml:space="preserve"> - </v>
      </c>
      <c r="BH9" s="153">
        <v>0</v>
      </c>
      <c r="BI9" s="153"/>
      <c r="BJ9" s="193"/>
      <c r="BK9" s="153"/>
      <c r="BL9" s="153"/>
      <c r="BM9" s="153">
        <v>720</v>
      </c>
      <c r="BN9" s="153"/>
      <c r="BO9" s="153"/>
      <c r="BP9" s="153"/>
      <c r="BQ9" s="153"/>
      <c r="BR9" s="153"/>
      <c r="BS9" s="153"/>
      <c r="BT9" s="153"/>
      <c r="BU9" s="153"/>
      <c r="BV9" s="153"/>
      <c r="BW9" s="153"/>
      <c r="BX9" s="153"/>
      <c r="BY9" s="155"/>
      <c r="BZ9" s="155"/>
      <c r="CA9" s="153"/>
      <c r="CB9" s="153"/>
      <c r="CC9" s="153"/>
      <c r="CD9" s="153"/>
      <c r="CE9" s="153"/>
      <c r="CF9" s="153"/>
      <c r="CG9" s="153"/>
      <c r="CH9" s="153"/>
      <c r="CI9" s="153"/>
      <c r="CJ9" s="153"/>
      <c r="CK9" s="153"/>
      <c r="CL9" s="153"/>
      <c r="CM9" s="153"/>
      <c r="CN9" s="155">
        <v>1088</v>
      </c>
      <c r="CO9" s="155">
        <v>720</v>
      </c>
      <c r="CP9" s="155">
        <v>1088</v>
      </c>
      <c r="CQ9" s="155"/>
      <c r="CR9" s="155"/>
      <c r="CS9" s="155"/>
      <c r="CT9" s="155"/>
      <c r="CU9" s="155"/>
      <c r="CV9" s="155"/>
      <c r="CW9" s="155"/>
      <c r="CX9" s="64"/>
      <c r="CY9" s="155"/>
      <c r="CZ9" s="155"/>
      <c r="DA9" s="155"/>
      <c r="DB9" s="316"/>
      <c r="DC9" s="316"/>
      <c r="DD9" s="155"/>
      <c r="DE9" s="155"/>
      <c r="DF9" s="155"/>
      <c r="DG9" s="155"/>
      <c r="DH9" s="155"/>
      <c r="DI9" s="155"/>
      <c r="DJ9" s="155"/>
      <c r="DK9" s="155"/>
      <c r="DL9" s="155"/>
      <c r="DM9" s="155"/>
      <c r="DN9" s="155"/>
      <c r="DO9" s="155"/>
      <c r="DP9" s="155"/>
      <c r="DQ9" s="155"/>
      <c r="DR9" s="155"/>
      <c r="DS9" s="155"/>
      <c r="DT9" s="155"/>
      <c r="DU9" s="155"/>
      <c r="DV9" s="635"/>
      <c r="DW9" s="635"/>
      <c r="DX9" s="635"/>
      <c r="DY9" s="635"/>
      <c r="DZ9" s="155"/>
      <c r="EA9" s="155"/>
      <c r="EB9" s="155"/>
      <c r="EC9" s="155"/>
      <c r="ED9" s="155"/>
      <c r="EE9" s="155"/>
      <c r="EF9" s="155"/>
      <c r="EG9" s="155"/>
      <c r="EH9" s="155"/>
      <c r="EI9" s="155"/>
      <c r="EJ9" s="155"/>
      <c r="EK9" s="155"/>
      <c r="EL9" s="153"/>
      <c r="EM9" s="153"/>
      <c r="EN9" s="153"/>
      <c r="EO9" s="8" t="s">
        <v>858</v>
      </c>
      <c r="EP9" s="996"/>
      <c r="EQ9" s="996"/>
      <c r="ER9" s="999">
        <v>1200</v>
      </c>
      <c r="ES9" s="996"/>
      <c r="ET9" s="1141"/>
      <c r="EU9" s="1141"/>
      <c r="EV9" s="1154"/>
      <c r="EW9" s="1154"/>
      <c r="EX9" s="155"/>
      <c r="EY9" s="155"/>
      <c r="EZ9" s="155"/>
    </row>
    <row r="10" spans="1:156" ht="14.25" customHeight="1">
      <c r="A10" s="20" t="s">
        <v>910</v>
      </c>
      <c r="B10" s="21" t="s">
        <v>402</v>
      </c>
      <c r="C10" s="22" t="s">
        <v>3</v>
      </c>
      <c r="D10" s="23" t="s">
        <v>82</v>
      </c>
      <c r="E10" s="21" t="s">
        <v>82</v>
      </c>
      <c r="F10" s="21" t="s">
        <v>138</v>
      </c>
      <c r="G10" s="6"/>
      <c r="H10" s="28"/>
      <c r="I10" s="179">
        <v>98</v>
      </c>
      <c r="J10" s="180">
        <v>11</v>
      </c>
      <c r="K10" s="180">
        <v>12</v>
      </c>
      <c r="L10" s="180">
        <v>97</v>
      </c>
      <c r="M10" s="180">
        <v>8</v>
      </c>
      <c r="N10" s="180">
        <v>4</v>
      </c>
      <c r="O10" s="180">
        <v>1</v>
      </c>
      <c r="P10" s="180">
        <v>9</v>
      </c>
      <c r="Q10" s="180">
        <v>1</v>
      </c>
      <c r="R10" s="180">
        <v>67</v>
      </c>
      <c r="S10" s="180">
        <v>97</v>
      </c>
      <c r="T10" s="180">
        <v>15</v>
      </c>
      <c r="U10" s="180">
        <v>28</v>
      </c>
      <c r="V10" s="180">
        <v>84</v>
      </c>
      <c r="W10" s="180">
        <v>11</v>
      </c>
      <c r="X10" s="187">
        <v>13</v>
      </c>
      <c r="Y10" s="196">
        <v>0</v>
      </c>
      <c r="Z10" s="197">
        <v>0</v>
      </c>
      <c r="AA10" s="198">
        <v>0</v>
      </c>
      <c r="AB10" s="197">
        <v>0</v>
      </c>
      <c r="AC10" s="180">
        <v>0</v>
      </c>
      <c r="AD10" s="180">
        <v>0</v>
      </c>
      <c r="AE10" s="180">
        <v>0</v>
      </c>
      <c r="AF10" s="187">
        <v>0</v>
      </c>
      <c r="AG10" s="190">
        <v>0</v>
      </c>
      <c r="AH10" s="180">
        <v>0</v>
      </c>
      <c r="AI10" s="180">
        <v>0</v>
      </c>
      <c r="AJ10" s="191">
        <v>0</v>
      </c>
      <c r="AK10" s="179">
        <v>0</v>
      </c>
      <c r="AL10" s="180">
        <v>0</v>
      </c>
      <c r="AM10" s="180">
        <v>0</v>
      </c>
      <c r="AN10" s="187">
        <v>0</v>
      </c>
      <c r="AO10" s="257">
        <v>1</v>
      </c>
      <c r="AP10" s="154">
        <v>0</v>
      </c>
      <c r="AQ10" s="153">
        <v>0</v>
      </c>
      <c r="AR10" s="154">
        <v>0</v>
      </c>
      <c r="AS10" s="338" t="s">
        <v>785</v>
      </c>
      <c r="AT10" s="191"/>
      <c r="AU10" s="199"/>
      <c r="AV10" s="191"/>
      <c r="AW10" s="199"/>
      <c r="AX10" s="191"/>
      <c r="AY10" s="128">
        <f t="shared" ref="AY10:BC10" si="0">IF(ISNUMBER(S10),S10," - ")</f>
        <v>97</v>
      </c>
      <c r="AZ10" s="129">
        <f t="shared" si="0"/>
        <v>15</v>
      </c>
      <c r="BA10" s="129">
        <f t="shared" si="0"/>
        <v>28</v>
      </c>
      <c r="BB10" s="129">
        <f t="shared" si="0"/>
        <v>84</v>
      </c>
      <c r="BC10" s="125">
        <f t="shared" si="0"/>
        <v>11</v>
      </c>
      <c r="BD10" s="126">
        <f>IF(ISNUMBER(BA10/AZ10),BA10/AZ10," - ")</f>
        <v>1.8666666666666667</v>
      </c>
      <c r="BE10" s="127">
        <f>IF(ISNUMBER(BB10/BA10),BB10/BA10, " - ")</f>
        <v>3</v>
      </c>
      <c r="BF10" s="127">
        <f>IF(ISNUMBER(BC10/BA10),BC10/BA10, " - ")</f>
        <v>0.39285714285714285</v>
      </c>
      <c r="BG10" s="195">
        <f>IF(ISNUMBER((AY10+AZ10)/BA10),(AY10+AZ10)/BA10," - ")</f>
        <v>4</v>
      </c>
      <c r="BH10" s="154">
        <v>1</v>
      </c>
      <c r="BI10" s="154"/>
      <c r="BJ10" s="200"/>
      <c r="BK10" s="153"/>
      <c r="BL10" s="153"/>
      <c r="BM10" s="153">
        <v>0</v>
      </c>
      <c r="BN10" s="153"/>
      <c r="BO10" s="153"/>
      <c r="BP10" s="153"/>
      <c r="BQ10" s="153"/>
      <c r="BR10" s="153"/>
      <c r="BS10" s="153"/>
      <c r="BT10" s="153"/>
      <c r="BU10" s="153"/>
      <c r="BV10" s="153"/>
      <c r="BW10" s="153"/>
      <c r="BX10" s="153"/>
      <c r="BY10" s="153"/>
      <c r="BZ10" s="153"/>
      <c r="CA10" s="153"/>
      <c r="CB10" s="153"/>
      <c r="CC10" s="153"/>
      <c r="CD10" s="153"/>
      <c r="CE10" s="153"/>
      <c r="CF10" s="153"/>
      <c r="CG10" s="153"/>
      <c r="CH10" s="153"/>
      <c r="CI10" s="153"/>
      <c r="CJ10" s="153"/>
      <c r="CK10" s="153"/>
      <c r="CL10" s="153"/>
      <c r="CM10" s="153"/>
      <c r="CN10" s="153">
        <v>1175</v>
      </c>
      <c r="CO10" s="153">
        <v>0</v>
      </c>
      <c r="CP10" s="153">
        <v>1175</v>
      </c>
      <c r="CQ10" s="153"/>
      <c r="CR10" s="153"/>
      <c r="CS10" s="153"/>
      <c r="CT10" s="153"/>
      <c r="CU10" s="153"/>
      <c r="CV10" s="155"/>
      <c r="CW10" s="155"/>
      <c r="CX10" s="64"/>
      <c r="CY10" s="155"/>
      <c r="CZ10" s="155"/>
      <c r="DA10" s="155"/>
      <c r="DB10" s="319"/>
      <c r="DC10" s="318"/>
      <c r="DD10" s="155"/>
      <c r="DE10" s="155"/>
      <c r="DF10" s="155"/>
      <c r="DG10" s="155"/>
      <c r="DH10" s="153"/>
      <c r="DI10" s="153"/>
      <c r="DJ10" s="153"/>
      <c r="DK10" s="153"/>
      <c r="DL10" s="153"/>
      <c r="DM10" s="155"/>
      <c r="DN10" s="155"/>
      <c r="DO10" s="155"/>
      <c r="DP10" s="155"/>
      <c r="DQ10" s="155"/>
      <c r="DR10" s="155"/>
      <c r="DS10" s="155"/>
      <c r="DT10" s="155"/>
      <c r="DU10" s="155"/>
      <c r="DV10" s="635"/>
      <c r="DW10" s="635"/>
      <c r="DX10" s="635"/>
      <c r="DY10" s="635"/>
      <c r="DZ10" s="155"/>
      <c r="EA10" s="155"/>
      <c r="EB10" s="288"/>
      <c r="EC10" s="288"/>
      <c r="ED10" s="288"/>
      <c r="EE10" s="288"/>
      <c r="EF10" s="288"/>
      <c r="EG10" s="288"/>
      <c r="EH10" s="288"/>
      <c r="EI10" s="288"/>
      <c r="EJ10" s="288"/>
      <c r="EK10" s="288"/>
      <c r="EL10" s="173"/>
      <c r="EM10" s="173"/>
      <c r="EN10" s="173"/>
      <c r="EO10" s="319" t="s">
        <v>759</v>
      </c>
      <c r="EP10" s="338"/>
      <c r="EQ10" s="338"/>
      <c r="ER10" s="1000">
        <v>1600</v>
      </c>
      <c r="ES10" s="338"/>
      <c r="ET10" s="1141"/>
      <c r="EU10" s="1141"/>
      <c r="EV10" s="1154"/>
      <c r="EW10" s="1154"/>
      <c r="EX10" s="288"/>
      <c r="EY10" s="288"/>
      <c r="EZ10" s="288"/>
    </row>
    <row r="11" spans="1:156" ht="14.25" customHeight="1" thickBot="1">
      <c r="A11" s="20" t="s">
        <v>403</v>
      </c>
      <c r="B11" s="21" t="s">
        <v>402</v>
      </c>
      <c r="C11" s="22" t="s">
        <v>3</v>
      </c>
      <c r="D11" s="23" t="s">
        <v>20</v>
      </c>
      <c r="E11" s="21" t="s">
        <v>51</v>
      </c>
      <c r="F11" s="21">
        <v>32</v>
      </c>
      <c r="G11" s="6"/>
      <c r="H11" s="28" t="s">
        <v>36</v>
      </c>
      <c r="I11" s="181" t="s">
        <v>798</v>
      </c>
      <c r="J11" s="182" t="s">
        <v>792</v>
      </c>
      <c r="K11" s="182" t="s">
        <v>839</v>
      </c>
      <c r="L11" s="182" t="s">
        <v>802</v>
      </c>
      <c r="M11" s="182" t="s">
        <v>490</v>
      </c>
      <c r="N11" s="182" t="s">
        <v>505</v>
      </c>
      <c r="O11" s="180" t="s">
        <v>224</v>
      </c>
      <c r="P11" s="182" t="s">
        <v>39</v>
      </c>
      <c r="Q11" s="182" t="s">
        <v>40</v>
      </c>
      <c r="R11" s="182" t="s">
        <v>91</v>
      </c>
      <c r="S11" s="182"/>
      <c r="T11" s="182"/>
      <c r="U11" s="182"/>
      <c r="V11" s="182"/>
      <c r="W11" s="182"/>
      <c r="X11" s="188"/>
      <c r="Y11" s="190" t="s">
        <v>134</v>
      </c>
      <c r="Z11" s="180" t="s">
        <v>135</v>
      </c>
      <c r="AA11" s="180" t="s">
        <v>136</v>
      </c>
      <c r="AB11" s="180" t="s">
        <v>137</v>
      </c>
      <c r="AC11" s="182"/>
      <c r="AD11" s="182"/>
      <c r="AE11" s="182"/>
      <c r="AF11" s="188"/>
      <c r="AG11" s="201"/>
      <c r="AH11" s="182"/>
      <c r="AI11" s="182"/>
      <c r="AJ11" s="202"/>
      <c r="AK11" s="181"/>
      <c r="AL11" s="182"/>
      <c r="AM11" s="182"/>
      <c r="AN11" s="188"/>
      <c r="AO11" s="258">
        <v>0</v>
      </c>
      <c r="AP11" s="154">
        <v>0</v>
      </c>
      <c r="AQ11" s="154">
        <v>0</v>
      </c>
      <c r="AR11" s="153">
        <v>0</v>
      </c>
      <c r="AS11" s="339" t="s">
        <v>793</v>
      </c>
      <c r="AT11" s="202"/>
      <c r="AU11" s="201"/>
      <c r="AV11" s="202"/>
      <c r="AW11" s="201"/>
      <c r="AX11" s="202"/>
      <c r="AY11" s="126">
        <f t="shared" ref="AY11:BB12" si="1">IF(ISNUMBER(IF(J_V="SI",S11,S11+AG11)),IF(J_V="SI",S11,S11+AG11)," - ")</f>
        <v>0</v>
      </c>
      <c r="AZ11" s="127">
        <f t="shared" si="1"/>
        <v>0</v>
      </c>
      <c r="BA11" s="127">
        <f t="shared" si="1"/>
        <v>0</v>
      </c>
      <c r="BB11" s="127">
        <f t="shared" si="1"/>
        <v>0</v>
      </c>
      <c r="BC11" s="125" t="str">
        <f>IF(ISNUMBER(X11),X11," - ")</f>
        <v xml:space="preserve"> - </v>
      </c>
      <c r="BD11" s="126" t="str">
        <f t="shared" ref="BD11:BD12" si="2">IF(ISNUMBER(BA11/AZ11),BA11/AZ11," - ")</f>
        <v xml:space="preserve"> - </v>
      </c>
      <c r="BE11" s="127" t="str">
        <f t="shared" ref="BE11:BE12" si="3">IF(ISNUMBER(BB11/BA11),BB11/BA11, " - ")</f>
        <v xml:space="preserve"> - </v>
      </c>
      <c r="BF11" s="127" t="str">
        <f t="shared" ref="BF11:BF12" si="4">IF(ISNUMBER(BC11/BA11),BC11/BA11, " - ")</f>
        <v xml:space="preserve"> - </v>
      </c>
      <c r="BG11" s="195" t="str">
        <f t="shared" ref="BG11:BG12" si="5">IF(ISNUMBER((AY11+AZ11)/BA11),(AY11+AZ11)/BA11," - ")</f>
        <v xml:space="preserve"> - </v>
      </c>
      <c r="BH11" s="154">
        <v>0</v>
      </c>
      <c r="BI11" s="154"/>
      <c r="BJ11" s="201"/>
      <c r="BK11" s="154"/>
      <c r="BL11" s="154"/>
      <c r="BM11" s="154">
        <v>1000</v>
      </c>
      <c r="BN11" s="153"/>
      <c r="BO11" s="153"/>
      <c r="BP11" s="153"/>
      <c r="BQ11" s="153"/>
      <c r="BR11" s="153"/>
      <c r="BS11" s="153"/>
      <c r="BT11" s="153"/>
      <c r="BU11" s="153"/>
      <c r="BV11" s="153"/>
      <c r="BW11" s="153"/>
      <c r="BX11" s="153"/>
      <c r="BY11" s="156"/>
      <c r="BZ11" s="155"/>
      <c r="CA11" s="153"/>
      <c r="CB11" s="153"/>
      <c r="CC11" s="153"/>
      <c r="CD11" s="153"/>
      <c r="CE11" s="154"/>
      <c r="CF11" s="154"/>
      <c r="CG11" s="154"/>
      <c r="CH11" s="154"/>
      <c r="CI11" s="154"/>
      <c r="CJ11" s="154"/>
      <c r="CK11" s="153"/>
      <c r="CL11" s="153"/>
      <c r="CM11" s="153"/>
      <c r="CN11" s="155">
        <v>1088</v>
      </c>
      <c r="CO11" s="156">
        <v>1000</v>
      </c>
      <c r="CP11" s="155">
        <v>1088</v>
      </c>
      <c r="CQ11" s="155"/>
      <c r="CR11" s="155"/>
      <c r="CS11" s="156"/>
      <c r="CT11" s="156"/>
      <c r="CU11" s="156"/>
      <c r="CV11" s="155"/>
      <c r="CW11" s="155"/>
      <c r="CX11" s="64"/>
      <c r="CY11" s="155"/>
      <c r="CZ11" s="155"/>
      <c r="DA11" s="155"/>
      <c r="DB11" s="146"/>
      <c r="DC11" s="146"/>
      <c r="DD11" s="155"/>
      <c r="DE11" s="155"/>
      <c r="DF11" s="155"/>
      <c r="DG11" s="155"/>
      <c r="DH11" s="155"/>
      <c r="DI11" s="155"/>
      <c r="DJ11" s="155"/>
      <c r="DK11" s="155"/>
      <c r="DL11" s="155"/>
      <c r="DM11" s="155"/>
      <c r="DN11" s="155"/>
      <c r="DO11" s="155"/>
      <c r="DP11" s="155"/>
      <c r="DQ11" s="155"/>
      <c r="DR11" s="155"/>
      <c r="DS11" s="155"/>
      <c r="DT11" s="155"/>
      <c r="DU11" s="155"/>
      <c r="DV11" s="635"/>
      <c r="DW11" s="635"/>
      <c r="DX11" s="635"/>
      <c r="DY11" s="635"/>
      <c r="DZ11" s="155"/>
      <c r="EA11" s="155"/>
      <c r="EB11" s="288"/>
      <c r="EC11" s="288"/>
      <c r="ED11" s="288"/>
      <c r="EE11" s="288"/>
      <c r="EF11" s="288"/>
      <c r="EG11" s="288"/>
      <c r="EH11" s="288"/>
      <c r="EI11" s="288"/>
      <c r="EJ11" s="288"/>
      <c r="EK11" s="288"/>
      <c r="EL11" s="173"/>
      <c r="EM11" s="173"/>
      <c r="EN11" s="173"/>
      <c r="EO11" s="8" t="s">
        <v>859</v>
      </c>
      <c r="EP11" s="997"/>
      <c r="EQ11" s="997"/>
      <c r="ER11" s="1001">
        <v>1323</v>
      </c>
      <c r="ES11" s="997"/>
      <c r="ET11" s="1141"/>
      <c r="EU11" s="1141"/>
      <c r="EV11" s="1154"/>
      <c r="EW11" s="1154"/>
      <c r="EX11" s="288"/>
      <c r="EY11" s="288"/>
      <c r="EZ11" s="288"/>
    </row>
    <row r="12" spans="1:156" ht="14.25" customHeight="1">
      <c r="A12" s="20" t="s">
        <v>909</v>
      </c>
      <c r="B12" s="21" t="s">
        <v>402</v>
      </c>
      <c r="C12" s="22" t="s">
        <v>3</v>
      </c>
      <c r="D12" s="23" t="s">
        <v>20</v>
      </c>
      <c r="E12" s="21" t="s">
        <v>20</v>
      </c>
      <c r="F12" s="21">
        <v>31</v>
      </c>
      <c r="G12" s="6"/>
      <c r="H12" s="214"/>
      <c r="I12" s="181">
        <v>6886</v>
      </c>
      <c r="J12" s="182">
        <v>1440</v>
      </c>
      <c r="K12" s="182">
        <v>2387</v>
      </c>
      <c r="L12" s="182">
        <v>5939</v>
      </c>
      <c r="M12" s="182">
        <v>442</v>
      </c>
      <c r="N12" s="182">
        <v>1295</v>
      </c>
      <c r="O12" s="180">
        <v>744</v>
      </c>
      <c r="P12" s="182">
        <v>639</v>
      </c>
      <c r="Q12" s="182">
        <v>232</v>
      </c>
      <c r="R12" s="182">
        <v>9056</v>
      </c>
      <c r="S12" s="182">
        <v>6556</v>
      </c>
      <c r="T12" s="182">
        <v>1640</v>
      </c>
      <c r="U12" s="182">
        <v>1504</v>
      </c>
      <c r="V12" s="182">
        <v>6674</v>
      </c>
      <c r="W12" s="182">
        <v>396</v>
      </c>
      <c r="X12" s="188">
        <v>663</v>
      </c>
      <c r="Y12" s="190">
        <v>127</v>
      </c>
      <c r="Z12" s="180">
        <v>183</v>
      </c>
      <c r="AA12" s="180">
        <v>178</v>
      </c>
      <c r="AB12" s="180">
        <v>132</v>
      </c>
      <c r="AC12" s="182">
        <v>0</v>
      </c>
      <c r="AD12" s="182">
        <v>0</v>
      </c>
      <c r="AE12" s="182">
        <v>0</v>
      </c>
      <c r="AF12" s="188">
        <v>0</v>
      </c>
      <c r="AG12" s="201">
        <v>81</v>
      </c>
      <c r="AH12" s="182">
        <v>94</v>
      </c>
      <c r="AI12" s="182">
        <v>101</v>
      </c>
      <c r="AJ12" s="202">
        <v>74</v>
      </c>
      <c r="AK12" s="181">
        <v>0</v>
      </c>
      <c r="AL12" s="182">
        <v>0</v>
      </c>
      <c r="AM12" s="182">
        <v>0</v>
      </c>
      <c r="AN12" s="188">
        <v>0</v>
      </c>
      <c r="AO12" s="258">
        <v>6</v>
      </c>
      <c r="AP12" s="154">
        <v>6</v>
      </c>
      <c r="AQ12" s="154">
        <v>6</v>
      </c>
      <c r="AR12" s="153">
        <v>6</v>
      </c>
      <c r="AS12" s="339" t="s">
        <v>794</v>
      </c>
      <c r="AT12" s="202"/>
      <c r="AU12" s="201"/>
      <c r="AV12" s="202"/>
      <c r="AW12" s="201"/>
      <c r="AX12" s="202"/>
      <c r="AY12" s="126">
        <f t="shared" si="1"/>
        <v>6637</v>
      </c>
      <c r="AZ12" s="127">
        <f t="shared" si="1"/>
        <v>1734</v>
      </c>
      <c r="BA12" s="127">
        <f t="shared" si="1"/>
        <v>1605</v>
      </c>
      <c r="BB12" s="127">
        <f t="shared" si="1"/>
        <v>6748</v>
      </c>
      <c r="BC12" s="125">
        <f>IF(ISNUMBER(X12),X12," - ")</f>
        <v>663</v>
      </c>
      <c r="BD12" s="126">
        <f t="shared" si="2"/>
        <v>0.9256055363321799</v>
      </c>
      <c r="BE12" s="127">
        <f t="shared" si="3"/>
        <v>4.2043613707165113</v>
      </c>
      <c r="BF12" s="127">
        <f t="shared" si="4"/>
        <v>0.41308411214953272</v>
      </c>
      <c r="BG12" s="195">
        <f t="shared" si="5"/>
        <v>5.2155763239875386</v>
      </c>
      <c r="BH12" s="154">
        <v>6</v>
      </c>
      <c r="BI12" s="154"/>
      <c r="BJ12" s="201"/>
      <c r="BK12" s="154"/>
      <c r="BL12" s="154"/>
      <c r="BM12" s="154">
        <v>380</v>
      </c>
      <c r="BN12" s="153"/>
      <c r="BO12" s="153"/>
      <c r="BP12" s="153"/>
      <c r="BQ12" s="153"/>
      <c r="BR12" s="153"/>
      <c r="BS12" s="153"/>
      <c r="BT12" s="153"/>
      <c r="BU12" s="153"/>
      <c r="BV12" s="153"/>
      <c r="BW12" s="153"/>
      <c r="BX12" s="153"/>
      <c r="BY12" s="156"/>
      <c r="BZ12" s="155"/>
      <c r="CA12" s="153"/>
      <c r="CB12" s="153"/>
      <c r="CC12" s="153"/>
      <c r="CD12" s="153"/>
      <c r="CE12" s="154"/>
      <c r="CF12" s="154"/>
      <c r="CG12" s="154"/>
      <c r="CH12" s="154"/>
      <c r="CI12" s="154"/>
      <c r="CJ12" s="154"/>
      <c r="CK12" s="153"/>
      <c r="CL12" s="153"/>
      <c r="CM12" s="153"/>
      <c r="CN12" s="155">
        <v>1088</v>
      </c>
      <c r="CO12" s="156">
        <v>2880</v>
      </c>
      <c r="CP12" s="155">
        <v>1088</v>
      </c>
      <c r="CQ12" s="155"/>
      <c r="CR12" s="155"/>
      <c r="CS12" s="156"/>
      <c r="CT12" s="156"/>
      <c r="CU12" s="156"/>
      <c r="CV12" s="155"/>
      <c r="CW12" s="155"/>
      <c r="CX12" s="64"/>
      <c r="CY12" s="155"/>
      <c r="CZ12" s="155"/>
      <c r="DA12" s="155"/>
      <c r="DB12" s="316"/>
      <c r="DC12" s="316"/>
      <c r="DD12" s="155"/>
      <c r="DE12" s="155"/>
      <c r="DF12" s="155"/>
      <c r="DG12" s="155"/>
      <c r="DH12" s="155"/>
      <c r="DI12" s="155"/>
      <c r="DJ12" s="155"/>
      <c r="DK12" s="155"/>
      <c r="DL12" s="155"/>
      <c r="DM12" s="155"/>
      <c r="DN12" s="155"/>
      <c r="DO12" s="155"/>
      <c r="DP12" s="155"/>
      <c r="DQ12" s="155"/>
      <c r="DR12" s="155"/>
      <c r="DS12" s="155"/>
      <c r="DT12" s="155"/>
      <c r="DU12" s="155"/>
      <c r="DV12" s="635"/>
      <c r="DW12" s="635"/>
      <c r="DX12" s="635"/>
      <c r="DY12" s="635"/>
      <c r="DZ12" s="155"/>
      <c r="EA12" s="155"/>
      <c r="EB12" s="288"/>
      <c r="EC12" s="288"/>
      <c r="ED12" s="288"/>
      <c r="EE12" s="288"/>
      <c r="EF12" s="288"/>
      <c r="EG12" s="288"/>
      <c r="EH12" s="288"/>
      <c r="EI12" s="288"/>
      <c r="EJ12" s="288"/>
      <c r="EK12" s="288"/>
      <c r="EL12" s="173"/>
      <c r="EM12" s="173"/>
      <c r="EN12" s="173"/>
      <c r="EO12" s="8" t="s">
        <v>860</v>
      </c>
      <c r="EP12" s="998"/>
      <c r="EQ12" s="998"/>
      <c r="ER12" s="999">
        <v>680</v>
      </c>
      <c r="ES12" s="998"/>
      <c r="ET12" s="1141"/>
      <c r="EU12" s="1141"/>
      <c r="EV12" s="1154"/>
      <c r="EW12" s="1154"/>
      <c r="EX12" s="288"/>
      <c r="EY12" s="288"/>
      <c r="EZ12" s="288"/>
    </row>
    <row r="13" spans="1:156" ht="14.25" customHeight="1" thickBot="1">
      <c r="A13" s="74" t="s">
        <v>0</v>
      </c>
      <c r="B13" s="75" t="s">
        <v>402</v>
      </c>
      <c r="C13" s="76" t="s">
        <v>4</v>
      </c>
      <c r="D13" s="77"/>
      <c r="E13" s="78"/>
      <c r="F13" s="78"/>
      <c r="G13" s="79"/>
      <c r="H13" s="80"/>
      <c r="I13" s="183">
        <f t="shared" ref="I13:AE13" si="6">SUBTOTAL(9,I8:I12)</f>
        <v>6984</v>
      </c>
      <c r="J13" s="183">
        <f t="shared" si="6"/>
        <v>1451</v>
      </c>
      <c r="K13" s="183">
        <f t="shared" si="6"/>
        <v>2399</v>
      </c>
      <c r="L13" s="183">
        <f t="shared" si="6"/>
        <v>6036</v>
      </c>
      <c r="M13" s="183">
        <f t="shared" si="6"/>
        <v>450</v>
      </c>
      <c r="N13" s="183">
        <f t="shared" si="6"/>
        <v>1299</v>
      </c>
      <c r="O13" s="183">
        <f t="shared" si="6"/>
        <v>745</v>
      </c>
      <c r="P13" s="183">
        <f t="shared" si="6"/>
        <v>648</v>
      </c>
      <c r="Q13" s="183">
        <f t="shared" si="6"/>
        <v>233</v>
      </c>
      <c r="R13" s="183">
        <f t="shared" si="6"/>
        <v>9123</v>
      </c>
      <c r="S13" s="183">
        <f t="shared" si="6"/>
        <v>6653</v>
      </c>
      <c r="T13" s="183">
        <f t="shared" si="6"/>
        <v>1655</v>
      </c>
      <c r="U13" s="183">
        <f t="shared" si="6"/>
        <v>1532</v>
      </c>
      <c r="V13" s="183">
        <f t="shared" si="6"/>
        <v>6758</v>
      </c>
      <c r="W13" s="183">
        <f t="shared" si="6"/>
        <v>407</v>
      </c>
      <c r="X13" s="183">
        <f t="shared" si="6"/>
        <v>676</v>
      </c>
      <c r="Y13" s="183">
        <f t="shared" si="6"/>
        <v>127</v>
      </c>
      <c r="Z13" s="183">
        <f t="shared" si="6"/>
        <v>183</v>
      </c>
      <c r="AA13" s="183">
        <f t="shared" si="6"/>
        <v>178</v>
      </c>
      <c r="AB13" s="183">
        <f t="shared" si="6"/>
        <v>132</v>
      </c>
      <c r="AC13" s="183">
        <f t="shared" si="6"/>
        <v>0</v>
      </c>
      <c r="AD13" s="183">
        <f t="shared" si="6"/>
        <v>0</v>
      </c>
      <c r="AE13" s="183">
        <f t="shared" si="6"/>
        <v>0</v>
      </c>
      <c r="AF13" s="183">
        <f>SUBTOTAL(9,AF9:AF12)</f>
        <v>0</v>
      </c>
      <c r="AG13" s="183">
        <f t="shared" ref="AG13:AT13" si="7">SUBTOTAL(9,AG8:AG12)</f>
        <v>81</v>
      </c>
      <c r="AH13" s="183">
        <f t="shared" si="7"/>
        <v>94</v>
      </c>
      <c r="AI13" s="183">
        <f t="shared" si="7"/>
        <v>101</v>
      </c>
      <c r="AJ13" s="183">
        <f t="shared" si="7"/>
        <v>74</v>
      </c>
      <c r="AK13" s="183">
        <f t="shared" si="7"/>
        <v>0</v>
      </c>
      <c r="AL13" s="183">
        <f t="shared" si="7"/>
        <v>0</v>
      </c>
      <c r="AM13" s="183">
        <f t="shared" si="7"/>
        <v>0</v>
      </c>
      <c r="AN13" s="183">
        <f t="shared" si="7"/>
        <v>0</v>
      </c>
      <c r="AO13" s="183">
        <f t="shared" si="7"/>
        <v>7</v>
      </c>
      <c r="AP13" s="183">
        <f t="shared" si="7"/>
        <v>6</v>
      </c>
      <c r="AQ13" s="183">
        <f t="shared" si="7"/>
        <v>6</v>
      </c>
      <c r="AR13" s="183">
        <f t="shared" si="7"/>
        <v>6</v>
      </c>
      <c r="AS13" s="183">
        <f t="shared" si="7"/>
        <v>0</v>
      </c>
      <c r="AT13" s="183">
        <f t="shared" si="7"/>
        <v>0</v>
      </c>
      <c r="AU13" s="203"/>
      <c r="AV13" s="132"/>
      <c r="AW13" s="203"/>
      <c r="AX13" s="132"/>
      <c r="AY13" s="183">
        <f>SUBTOTAL(9,AY8:AY12)</f>
        <v>6734</v>
      </c>
      <c r="AZ13" s="183">
        <f>SUBTOTAL(9,AZ8:AZ12)</f>
        <v>1749</v>
      </c>
      <c r="BA13" s="183">
        <f>SUBTOTAL(9,BA8:BA12)</f>
        <v>1633</v>
      </c>
      <c r="BB13" s="183">
        <f>SUBTOTAL(9,BB8:BB12)</f>
        <v>6832</v>
      </c>
      <c r="BC13" s="183">
        <f>SUBTOTAL(9,BC8:BC12)</f>
        <v>674</v>
      </c>
      <c r="BD13" s="204">
        <f>IF(ISNUMBER(BA13/AZ13),BA13/AZ13," - ")</f>
        <v>0.93367638650657514</v>
      </c>
      <c r="BE13" s="205">
        <f>IF(ISNUMBER(BB13/BA13),BB13/BA13, " - ")</f>
        <v>4.1837109614206982</v>
      </c>
      <c r="BF13" s="205">
        <f>IF(ISNUMBER(BC13/BA13),BC13/BA13, " - ")</f>
        <v>0.4127372933251684</v>
      </c>
      <c r="BG13" s="206">
        <f>IF(ISNUMBER((AY13+AZ13)/BA13),(AY13+AZ13)/BA13," - ")</f>
        <v>5.1947336191059401</v>
      </c>
      <c r="BH13" s="139">
        <f>SUBTOTAL(9,BH8:BH12)</f>
        <v>7</v>
      </c>
      <c r="BI13" s="139">
        <f>SUBTOTAL(9,BI8:BI12)</f>
        <v>0</v>
      </c>
      <c r="BJ13" s="139">
        <f>SUBTOTAL(9,BJ8:BJ12)</f>
        <v>0</v>
      </c>
      <c r="BK13" s="139">
        <f>SUBTOTAL(9,BK8:BK12)</f>
        <v>0</v>
      </c>
      <c r="BL13" s="139">
        <f>SUBTOTAL(9,BL8:BL12)</f>
        <v>0</v>
      </c>
      <c r="BM13" s="139">
        <f>AVERAGE(BM8:BM12)</f>
        <v>525</v>
      </c>
      <c r="BN13" s="139"/>
      <c r="BO13" s="139"/>
      <c r="BP13" s="139"/>
      <c r="BQ13" s="139"/>
      <c r="BR13" s="139"/>
      <c r="BS13" s="139"/>
      <c r="BT13" s="139"/>
      <c r="BU13" s="139"/>
      <c r="BV13" s="139"/>
      <c r="BW13" s="139"/>
      <c r="BX13" s="139"/>
      <c r="BY13" s="150"/>
      <c r="BZ13" s="150"/>
      <c r="CA13" s="139">
        <f t="shared" ref="CA13:CL13" si="8">SUBTOTAL(9,CA8:CA12)</f>
        <v>0</v>
      </c>
      <c r="CB13" s="139">
        <f t="shared" si="8"/>
        <v>0</v>
      </c>
      <c r="CC13" s="139">
        <f t="shared" si="8"/>
        <v>0</v>
      </c>
      <c r="CD13" s="139">
        <f t="shared" si="8"/>
        <v>0</v>
      </c>
      <c r="CE13" s="139">
        <f t="shared" si="8"/>
        <v>0</v>
      </c>
      <c r="CF13" s="139">
        <f t="shared" si="8"/>
        <v>0</v>
      </c>
      <c r="CG13" s="139">
        <f t="shared" si="8"/>
        <v>0</v>
      </c>
      <c r="CH13" s="139">
        <f t="shared" si="8"/>
        <v>0</v>
      </c>
      <c r="CI13" s="139">
        <f t="shared" si="8"/>
        <v>0</v>
      </c>
      <c r="CJ13" s="139">
        <f t="shared" si="8"/>
        <v>0</v>
      </c>
      <c r="CK13" s="139">
        <f t="shared" si="8"/>
        <v>0</v>
      </c>
      <c r="CL13" s="139">
        <f t="shared" si="8"/>
        <v>0</v>
      </c>
      <c r="CM13" s="139"/>
      <c r="CN13" s="150">
        <f>AVERAGE(CN8:CN12)</f>
        <v>1109.75</v>
      </c>
      <c r="CO13" s="150">
        <f>AVERAGE(CO8:CO12)</f>
        <v>1150</v>
      </c>
      <c r="CP13" s="150">
        <f>AVERAGE(CP8:CP12)</f>
        <v>1109.75</v>
      </c>
      <c r="CQ13" s="150"/>
      <c r="CR13" s="150"/>
      <c r="CS13" s="139">
        <f>SUBTOTAL(9,CS8:CS12)</f>
        <v>0</v>
      </c>
      <c r="CT13" s="139">
        <f>SUBTOTAL(9,CT8:CT12)</f>
        <v>0</v>
      </c>
      <c r="CU13" s="139">
        <f>SUBTOTAL(9,CU8:CU12)</f>
        <v>0</v>
      </c>
      <c r="CV13" s="139">
        <f>SUBTOTAL(9,CV8:CV12)</f>
        <v>0</v>
      </c>
      <c r="CW13" s="150"/>
      <c r="CX13" s="109"/>
      <c r="CY13" s="150"/>
      <c r="CZ13" s="150"/>
      <c r="DA13" s="150"/>
      <c r="DB13" s="321"/>
      <c r="DC13" s="322"/>
      <c r="DD13" s="323"/>
      <c r="DE13" s="323"/>
      <c r="DF13" s="323"/>
      <c r="DG13" s="150"/>
      <c r="DH13" s="150"/>
      <c r="DI13" s="150"/>
      <c r="DJ13" s="150"/>
      <c r="DK13" s="150"/>
      <c r="DL13" s="150"/>
      <c r="DM13" s="150"/>
      <c r="DN13" s="150"/>
      <c r="DO13" s="150"/>
      <c r="DP13" s="150"/>
      <c r="DQ13" s="150"/>
      <c r="DR13" s="150"/>
      <c r="DS13" s="150"/>
      <c r="DT13" s="150"/>
      <c r="DU13" s="150"/>
      <c r="DV13" s="150"/>
      <c r="DW13" s="150"/>
      <c r="DX13" s="150"/>
      <c r="DY13" s="150"/>
      <c r="DZ13" s="150"/>
      <c r="EA13" s="150"/>
      <c r="EB13" s="150"/>
      <c r="EC13" s="150"/>
      <c r="ED13" s="150"/>
      <c r="EE13" s="150"/>
      <c r="EF13" s="150"/>
      <c r="EG13" s="150"/>
      <c r="EH13" s="150"/>
      <c r="EI13" s="150"/>
      <c r="EJ13" s="150"/>
      <c r="EK13" s="150"/>
      <c r="EL13" s="139">
        <f>SUBTOTAL(9,EL8:EL12)</f>
        <v>0</v>
      </c>
      <c r="EM13" s="139">
        <f>SUBTOTAL(9,EM8:EM12)</f>
        <v>0</v>
      </c>
      <c r="EN13" s="139">
        <f>SUBTOTAL(9,EN8:EN12)</f>
        <v>0</v>
      </c>
      <c r="EO13" s="321"/>
      <c r="EP13" s="150">
        <f>SUBTOTAL(9,EP8:EP12)</f>
        <v>0</v>
      </c>
      <c r="EQ13" s="150">
        <f>SUBTOTAL(9,EQ8:EQ12)</f>
        <v>0</v>
      </c>
      <c r="ER13" s="150">
        <f>AVERAGE(ER8:ER12)</f>
        <v>990.2</v>
      </c>
      <c r="ES13" s="150">
        <f>SUBTOTAL(9,ES8:ES12)</f>
        <v>0</v>
      </c>
      <c r="ET13" s="1142"/>
      <c r="EU13" s="1142"/>
      <c r="EV13" s="150">
        <f>SUBTOTAL(9,EV8:EV12)</f>
        <v>0</v>
      </c>
      <c r="EW13" s="150"/>
      <c r="EX13" s="150">
        <f>SUBTOTAL(9,EX8:EX12)</f>
        <v>0</v>
      </c>
      <c r="EY13" s="150">
        <f>SUBTOTAL(9,EY8:EY12)</f>
        <v>0</v>
      </c>
      <c r="EZ13" s="150"/>
    </row>
    <row r="14" spans="1:156" ht="14.25" customHeight="1" thickBot="1">
      <c r="A14" s="70" t="s">
        <v>101</v>
      </c>
      <c r="B14" s="82" t="s">
        <v>402</v>
      </c>
      <c r="C14" s="83" t="s">
        <v>2</v>
      </c>
      <c r="D14" s="84"/>
      <c r="E14" s="85"/>
      <c r="F14" s="85"/>
      <c r="G14" s="86"/>
      <c r="H14" s="87"/>
      <c r="I14" s="184"/>
      <c r="J14" s="185"/>
      <c r="K14" s="185"/>
      <c r="L14" s="185"/>
      <c r="M14" s="185"/>
      <c r="N14" s="185"/>
      <c r="O14" s="185"/>
      <c r="P14" s="185"/>
      <c r="Q14" s="185"/>
      <c r="R14" s="185"/>
      <c r="S14" s="185"/>
      <c r="T14" s="185"/>
      <c r="U14" s="185"/>
      <c r="V14" s="185"/>
      <c r="W14" s="185"/>
      <c r="X14" s="189"/>
      <c r="Y14" s="193"/>
      <c r="Z14" s="185"/>
      <c r="AA14" s="185"/>
      <c r="AB14" s="185"/>
      <c r="AC14" s="185"/>
      <c r="AD14" s="185"/>
      <c r="AE14" s="185"/>
      <c r="AF14" s="189"/>
      <c r="AG14" s="193"/>
      <c r="AH14" s="185"/>
      <c r="AI14" s="185"/>
      <c r="AJ14" s="194"/>
      <c r="AK14" s="186"/>
      <c r="AL14" s="185"/>
      <c r="AM14" s="185"/>
      <c r="AN14" s="189"/>
      <c r="AO14" s="192"/>
      <c r="AP14" s="192"/>
      <c r="AQ14" s="192"/>
      <c r="AR14" s="192"/>
      <c r="AS14" s="337"/>
      <c r="AT14" s="194"/>
      <c r="AU14" s="193"/>
      <c r="AV14" s="194"/>
      <c r="AW14" s="193"/>
      <c r="AX14" s="194"/>
      <c r="AY14" s="207"/>
      <c r="AZ14" s="189"/>
      <c r="BA14" s="189"/>
      <c r="BB14" s="189"/>
      <c r="BC14" s="194"/>
      <c r="BD14" s="207"/>
      <c r="BE14" s="189"/>
      <c r="BF14" s="189"/>
      <c r="BG14" s="194"/>
      <c r="BH14" s="192"/>
      <c r="BI14" s="192"/>
      <c r="BJ14" s="193"/>
      <c r="BK14" s="192"/>
      <c r="BL14" s="192"/>
      <c r="BM14" s="192"/>
      <c r="BN14" s="151"/>
      <c r="BO14" s="151"/>
      <c r="BP14" s="151"/>
      <c r="BQ14" s="151"/>
      <c r="BR14" s="151"/>
      <c r="BS14" s="151"/>
      <c r="BT14" s="151"/>
      <c r="BU14" s="151"/>
      <c r="BV14" s="192"/>
      <c r="BW14" s="192"/>
      <c r="BX14" s="192"/>
      <c r="BY14" s="151"/>
      <c r="BZ14" s="151"/>
      <c r="CA14" s="192"/>
      <c r="CB14" s="192"/>
      <c r="CC14" s="192"/>
      <c r="CD14" s="192"/>
      <c r="CE14" s="192"/>
      <c r="CF14" s="192"/>
      <c r="CG14" s="192"/>
      <c r="CH14" s="192"/>
      <c r="CI14" s="192"/>
      <c r="CJ14" s="192"/>
      <c r="CK14" s="192"/>
      <c r="CL14" s="192"/>
      <c r="CM14" s="192"/>
      <c r="CN14" s="151"/>
      <c r="CO14" s="151"/>
      <c r="CP14" s="151"/>
      <c r="CQ14" s="151"/>
      <c r="CR14" s="151"/>
      <c r="CS14" s="151"/>
      <c r="CT14" s="151"/>
      <c r="CU14" s="151"/>
      <c r="CV14" s="151"/>
      <c r="CW14" s="151"/>
      <c r="CX14" s="60"/>
      <c r="CY14" s="151"/>
      <c r="CZ14" s="151"/>
      <c r="DA14" s="151"/>
      <c r="DB14" s="316"/>
      <c r="DC14" s="317"/>
      <c r="DD14" s="324"/>
      <c r="DE14" s="324"/>
      <c r="DF14" s="324"/>
      <c r="DG14" s="151"/>
      <c r="DH14" s="151"/>
      <c r="DI14" s="151"/>
      <c r="DJ14" s="151"/>
      <c r="DK14" s="151"/>
      <c r="DL14" s="151"/>
      <c r="DM14" s="150"/>
      <c r="DN14" s="150"/>
      <c r="DO14" s="150"/>
      <c r="DP14" s="150"/>
      <c r="DQ14" s="150"/>
      <c r="DR14" s="150"/>
      <c r="DS14" s="150"/>
      <c r="DT14" s="150"/>
      <c r="DU14" s="150"/>
      <c r="DV14" s="150"/>
      <c r="DW14" s="150"/>
      <c r="DX14" s="150"/>
      <c r="DY14" s="150"/>
      <c r="DZ14" s="150"/>
      <c r="EA14" s="150"/>
      <c r="EB14" s="151"/>
      <c r="EC14" s="151"/>
      <c r="ED14" s="151"/>
      <c r="EE14" s="151"/>
      <c r="EF14" s="151"/>
      <c r="EG14" s="151"/>
      <c r="EH14" s="151"/>
      <c r="EI14" s="151"/>
      <c r="EJ14" s="151"/>
      <c r="EK14" s="151"/>
      <c r="EL14" s="192"/>
      <c r="EM14" s="192"/>
      <c r="EN14" s="192"/>
      <c r="EO14" s="316"/>
      <c r="EP14" s="337"/>
      <c r="EQ14" s="337"/>
      <c r="ER14" s="337"/>
      <c r="ES14" s="337"/>
      <c r="ET14" s="182"/>
      <c r="EU14" s="182"/>
      <c r="EV14" s="151"/>
      <c r="EW14" s="151"/>
      <c r="EX14" s="151"/>
      <c r="EY14" s="151"/>
      <c r="EZ14" s="151"/>
    </row>
    <row r="15" spans="1:156" ht="14.25" customHeight="1">
      <c r="A15" s="7" t="s">
        <v>405</v>
      </c>
      <c r="B15" s="21" t="s">
        <v>402</v>
      </c>
      <c r="C15" s="22" t="s">
        <v>3</v>
      </c>
      <c r="D15" s="23" t="s">
        <v>20</v>
      </c>
      <c r="E15" s="21" t="s">
        <v>22</v>
      </c>
      <c r="F15" s="21">
        <v>33</v>
      </c>
      <c r="G15" s="6"/>
      <c r="H15" s="24"/>
      <c r="I15" s="181" t="s">
        <v>488</v>
      </c>
      <c r="J15" s="182" t="s">
        <v>484</v>
      </c>
      <c r="K15" s="182" t="s">
        <v>485</v>
      </c>
      <c r="L15" s="182" t="s">
        <v>486</v>
      </c>
      <c r="M15" s="182" t="s">
        <v>491</v>
      </c>
      <c r="N15" s="182" t="s">
        <v>150</v>
      </c>
      <c r="O15" s="180" t="s">
        <v>225</v>
      </c>
      <c r="P15" s="182" t="s">
        <v>470</v>
      </c>
      <c r="Q15" s="182" t="s">
        <v>471</v>
      </c>
      <c r="R15" s="182" t="s">
        <v>472</v>
      </c>
      <c r="S15" s="182"/>
      <c r="T15" s="182"/>
      <c r="U15" s="182"/>
      <c r="V15" s="182"/>
      <c r="W15" s="182"/>
      <c r="X15" s="188"/>
      <c r="Y15" s="201"/>
      <c r="Z15" s="182"/>
      <c r="AA15" s="182"/>
      <c r="AB15" s="182"/>
      <c r="AC15" s="182" t="s">
        <v>44</v>
      </c>
      <c r="AD15" s="182" t="s">
        <v>48</v>
      </c>
      <c r="AE15" s="182" t="s">
        <v>49</v>
      </c>
      <c r="AF15" s="188" t="s">
        <v>50</v>
      </c>
      <c r="AG15" s="201"/>
      <c r="AH15" s="182"/>
      <c r="AI15" s="182"/>
      <c r="AJ15" s="202"/>
      <c r="AK15" s="181"/>
      <c r="AL15" s="182"/>
      <c r="AM15" s="182"/>
      <c r="AN15" s="188"/>
      <c r="AO15" s="258">
        <v>0</v>
      </c>
      <c r="AP15" s="154">
        <v>0</v>
      </c>
      <c r="AQ15" s="154">
        <v>0</v>
      </c>
      <c r="AR15" s="154">
        <v>0</v>
      </c>
      <c r="AS15" s="339" t="s">
        <v>522</v>
      </c>
      <c r="AT15" s="202" t="s">
        <v>326</v>
      </c>
      <c r="AU15" s="201"/>
      <c r="AV15" s="202"/>
      <c r="AW15" s="201"/>
      <c r="AX15" s="202"/>
      <c r="AY15" s="128" t="str">
        <f t="shared" ref="AY15:BB16" si="9">IF(ISNUMBER(IF(D_I="SI",S15,S15+AK15)),IF(D_I="SI",S15,S15+AK15)," - ")</f>
        <v xml:space="preserve"> - </v>
      </c>
      <c r="AZ15" s="129" t="str">
        <f t="shared" si="9"/>
        <v xml:space="preserve"> - </v>
      </c>
      <c r="BA15" s="129" t="str">
        <f t="shared" si="9"/>
        <v xml:space="preserve"> - </v>
      </c>
      <c r="BB15" s="129" t="str">
        <f t="shared" si="9"/>
        <v xml:space="preserve"> - </v>
      </c>
      <c r="BC15" s="125" t="str">
        <f>IF(ISNUMBER(W15),W15," - ")</f>
        <v xml:space="preserve"> - </v>
      </c>
      <c r="BD15" s="126" t="str">
        <f>IF(ISNUMBER(BA15/AZ15),BA15/AZ15," - ")</f>
        <v xml:space="preserve"> - </v>
      </c>
      <c r="BE15" s="127" t="str">
        <f>IF(ISNUMBER(BB15/BA15),BB15/BA15, " - ")</f>
        <v xml:space="preserve"> - </v>
      </c>
      <c r="BF15" s="127" t="str">
        <f>IF(ISNUMBER(BC15/BA15),BC15/BA15, " - ")</f>
        <v xml:space="preserve"> - </v>
      </c>
      <c r="BG15" s="195" t="str">
        <f t="shared" ref="BG15:BG16" si="10">IF(ISNUMBER((AY15+AZ15)/BA15),(AY15+AZ15)/BA15," - ")</f>
        <v xml:space="preserve"> - </v>
      </c>
      <c r="BH15" s="154">
        <v>0</v>
      </c>
      <c r="BI15" s="154"/>
      <c r="BJ15" s="201"/>
      <c r="BK15" s="154"/>
      <c r="BL15" s="154"/>
      <c r="BM15" s="154">
        <v>6650</v>
      </c>
      <c r="BN15" s="154"/>
      <c r="BO15" s="154"/>
      <c r="BP15" s="154"/>
      <c r="BQ15" s="154"/>
      <c r="BR15" s="154"/>
      <c r="BS15" s="154"/>
      <c r="BT15" s="154"/>
      <c r="BU15" s="154"/>
      <c r="BV15" s="154"/>
      <c r="BW15" s="154"/>
      <c r="BX15" s="154"/>
      <c r="BY15" s="213"/>
      <c r="BZ15" s="213"/>
      <c r="CA15" s="154"/>
      <c r="CB15" s="154"/>
      <c r="CC15" s="154"/>
      <c r="CD15" s="154"/>
      <c r="CE15" s="154"/>
      <c r="CF15" s="154"/>
      <c r="CG15" s="154"/>
      <c r="CH15" s="154"/>
      <c r="CI15" s="154"/>
      <c r="CJ15" s="154"/>
      <c r="CK15" s="154"/>
      <c r="CL15" s="154"/>
      <c r="CM15" s="154"/>
      <c r="CN15" s="154">
        <v>1262</v>
      </c>
      <c r="CO15" s="154">
        <v>6600</v>
      </c>
      <c r="CP15" s="154">
        <v>1262</v>
      </c>
      <c r="CQ15" s="154"/>
      <c r="CR15" s="154"/>
      <c r="CS15" s="154"/>
      <c r="CT15" s="154"/>
      <c r="CU15" s="154"/>
      <c r="CV15" s="155"/>
      <c r="CW15" s="155"/>
      <c r="CX15" s="64"/>
      <c r="CY15" s="155"/>
      <c r="CZ15" s="155"/>
      <c r="DA15" s="155"/>
      <c r="DB15" s="146"/>
      <c r="DC15" s="320"/>
      <c r="DD15" s="155"/>
      <c r="DE15" s="155"/>
      <c r="DF15" s="155"/>
      <c r="DG15" s="155"/>
      <c r="DH15" s="154"/>
      <c r="DI15" s="154"/>
      <c r="DJ15" s="154"/>
      <c r="DK15" s="154"/>
      <c r="DL15" s="154"/>
      <c r="DM15" s="155"/>
      <c r="DN15" s="155"/>
      <c r="DO15" s="155"/>
      <c r="DP15" s="155"/>
      <c r="DQ15" s="155"/>
      <c r="DR15" s="155"/>
      <c r="DS15" s="155"/>
      <c r="DT15" s="155"/>
      <c r="DU15" s="155"/>
      <c r="DV15" s="635"/>
      <c r="DW15" s="635"/>
      <c r="DX15" s="635"/>
      <c r="DY15" s="635"/>
      <c r="DZ15" s="155"/>
      <c r="EA15" s="155"/>
      <c r="EB15" s="154"/>
      <c r="EC15" s="154"/>
      <c r="ED15" s="154"/>
      <c r="EE15" s="154"/>
      <c r="EF15" s="154"/>
      <c r="EG15" s="154"/>
      <c r="EH15" s="154"/>
      <c r="EI15" s="154"/>
      <c r="EJ15" s="154"/>
      <c r="EK15" s="154"/>
      <c r="EL15" s="154"/>
      <c r="EM15" s="154"/>
      <c r="EN15" s="154"/>
      <c r="EO15" s="8" t="s">
        <v>795</v>
      </c>
      <c r="EP15" s="997"/>
      <c r="EQ15" s="997"/>
      <c r="ER15" s="1001">
        <v>3300</v>
      </c>
      <c r="ES15" s="997"/>
      <c r="ET15" s="1141"/>
      <c r="EU15" s="1141"/>
      <c r="EV15" s="1154"/>
      <c r="EW15" s="1154"/>
      <c r="EX15" s="154"/>
      <c r="EY15" s="154"/>
      <c r="EZ15" s="154"/>
    </row>
    <row r="16" spans="1:156" ht="14.25" customHeight="1">
      <c r="A16" s="20" t="s">
        <v>909</v>
      </c>
      <c r="B16" s="21" t="s">
        <v>402</v>
      </c>
      <c r="C16" s="22" t="s">
        <v>3</v>
      </c>
      <c r="D16" s="23" t="s">
        <v>20</v>
      </c>
      <c r="E16" s="21" t="s">
        <v>20</v>
      </c>
      <c r="F16" s="21">
        <v>31</v>
      </c>
      <c r="G16" s="6"/>
      <c r="H16" s="24"/>
      <c r="I16" s="181">
        <v>3362</v>
      </c>
      <c r="J16" s="182">
        <v>1795</v>
      </c>
      <c r="K16" s="182">
        <v>1556</v>
      </c>
      <c r="L16" s="182">
        <v>3347</v>
      </c>
      <c r="M16" s="182">
        <v>259</v>
      </c>
      <c r="N16" s="182">
        <v>803</v>
      </c>
      <c r="O16" s="180">
        <v>6</v>
      </c>
      <c r="P16" s="182">
        <v>38</v>
      </c>
      <c r="Q16" s="182">
        <v>34</v>
      </c>
      <c r="R16" s="182">
        <v>339</v>
      </c>
      <c r="S16" s="182">
        <v>3267</v>
      </c>
      <c r="T16" s="182">
        <v>1803</v>
      </c>
      <c r="U16" s="182">
        <v>1772</v>
      </c>
      <c r="V16" s="182">
        <v>3057</v>
      </c>
      <c r="W16" s="182">
        <v>282</v>
      </c>
      <c r="X16" s="188">
        <v>1140</v>
      </c>
      <c r="Y16" s="201">
        <v>0</v>
      </c>
      <c r="Z16" s="182">
        <v>0</v>
      </c>
      <c r="AA16" s="182">
        <v>0</v>
      </c>
      <c r="AB16" s="182">
        <v>0</v>
      </c>
      <c r="AC16" s="182">
        <v>1</v>
      </c>
      <c r="AD16" s="182">
        <v>5</v>
      </c>
      <c r="AE16" s="182">
        <v>5</v>
      </c>
      <c r="AF16" s="188">
        <v>1</v>
      </c>
      <c r="AG16" s="201">
        <v>0</v>
      </c>
      <c r="AH16" s="182">
        <v>0</v>
      </c>
      <c r="AI16" s="182">
        <v>0</v>
      </c>
      <c r="AJ16" s="202">
        <v>0</v>
      </c>
      <c r="AK16" s="181">
        <v>2</v>
      </c>
      <c r="AL16" s="182">
        <v>4</v>
      </c>
      <c r="AM16" s="182">
        <v>3</v>
      </c>
      <c r="AN16" s="188">
        <v>3</v>
      </c>
      <c r="AO16" s="258">
        <v>6</v>
      </c>
      <c r="AP16" s="154">
        <v>6</v>
      </c>
      <c r="AQ16" s="154">
        <v>6</v>
      </c>
      <c r="AR16" s="154">
        <v>6</v>
      </c>
      <c r="AS16" s="339" t="s">
        <v>487</v>
      </c>
      <c r="AT16" s="202"/>
      <c r="AU16" s="201"/>
      <c r="AV16" s="202"/>
      <c r="AW16" s="201"/>
      <c r="AX16" s="202"/>
      <c r="AY16" s="126">
        <f t="shared" si="9"/>
        <v>3267</v>
      </c>
      <c r="AZ16" s="127">
        <f t="shared" si="9"/>
        <v>1803</v>
      </c>
      <c r="BA16" s="127">
        <f t="shared" si="9"/>
        <v>1772</v>
      </c>
      <c r="BB16" s="127">
        <f t="shared" si="9"/>
        <v>3057</v>
      </c>
      <c r="BC16" s="125">
        <f>IF(ISNUMBER(W16),W16," - ")</f>
        <v>282</v>
      </c>
      <c r="BD16" s="126">
        <f t="shared" ref="BD16" si="11">IF(ISNUMBER(BA16/AZ16),BA16/AZ16," - ")</f>
        <v>0.98280643372157517</v>
      </c>
      <c r="BE16" s="127">
        <f t="shared" ref="BE16" si="12">IF(ISNUMBER(BB16/BA16),BB16/BA16, " - ")</f>
        <v>1.7251693002257336</v>
      </c>
      <c r="BF16" s="127">
        <f t="shared" ref="BF16" si="13">IF(ISNUMBER(BC16/BA16),BC16/BA16, " - ")</f>
        <v>0.15914221218961624</v>
      </c>
      <c r="BG16" s="195">
        <f t="shared" si="10"/>
        <v>2.8611738148984198</v>
      </c>
      <c r="BH16" s="154">
        <v>6</v>
      </c>
      <c r="BI16" s="154"/>
      <c r="BJ16" s="201"/>
      <c r="BK16" s="154"/>
      <c r="BL16" s="154"/>
      <c r="BM16" s="154">
        <v>2500</v>
      </c>
      <c r="BN16" s="154"/>
      <c r="BO16" s="154"/>
      <c r="BP16" s="154"/>
      <c r="BQ16" s="154"/>
      <c r="BR16" s="154"/>
      <c r="BS16" s="154"/>
      <c r="BT16" s="153"/>
      <c r="BU16" s="153"/>
      <c r="BV16" s="154"/>
      <c r="BW16" s="154"/>
      <c r="BX16" s="154"/>
      <c r="BY16" s="172"/>
      <c r="BZ16" s="156"/>
      <c r="CA16" s="154"/>
      <c r="CB16" s="154"/>
      <c r="CC16" s="154"/>
      <c r="CD16" s="154"/>
      <c r="CE16" s="154"/>
      <c r="CF16" s="154"/>
      <c r="CG16" s="154"/>
      <c r="CH16" s="154"/>
      <c r="CI16" s="154"/>
      <c r="CJ16" s="154"/>
      <c r="CK16" s="154"/>
      <c r="CL16" s="154"/>
      <c r="CM16" s="154"/>
      <c r="CN16" s="154">
        <v>1088</v>
      </c>
      <c r="CO16" s="156">
        <v>2880</v>
      </c>
      <c r="CP16" s="154">
        <v>1088</v>
      </c>
      <c r="CQ16" s="154"/>
      <c r="CR16" s="154"/>
      <c r="CS16" s="156"/>
      <c r="CT16" s="156"/>
      <c r="CU16" s="156"/>
      <c r="CV16" s="155"/>
      <c r="CW16" s="155"/>
      <c r="CX16" s="64"/>
      <c r="CY16" s="155"/>
      <c r="CZ16" s="155"/>
      <c r="DA16" s="155"/>
      <c r="DB16" s="146"/>
      <c r="DC16" s="320"/>
      <c r="DD16" s="155"/>
      <c r="DE16" s="155"/>
      <c r="DF16" s="155"/>
      <c r="DG16" s="155"/>
      <c r="DH16" s="154"/>
      <c r="DI16" s="154"/>
      <c r="DJ16" s="154"/>
      <c r="DK16" s="154"/>
      <c r="DL16" s="154"/>
      <c r="DM16" s="155"/>
      <c r="DN16" s="155"/>
      <c r="DO16" s="155"/>
      <c r="DP16" s="155"/>
      <c r="DQ16" s="155"/>
      <c r="DR16" s="155"/>
      <c r="DS16" s="155"/>
      <c r="DT16" s="155"/>
      <c r="DU16" s="155"/>
      <c r="DV16" s="635"/>
      <c r="DW16" s="635"/>
      <c r="DX16" s="635"/>
      <c r="DY16" s="635"/>
      <c r="DZ16" s="155"/>
      <c r="EA16" s="155"/>
      <c r="EB16" s="154"/>
      <c r="EC16" s="154"/>
      <c r="ED16" s="154"/>
      <c r="EE16" s="154"/>
      <c r="EF16" s="154"/>
      <c r="EG16" s="154"/>
      <c r="EH16" s="154"/>
      <c r="EI16" s="154"/>
      <c r="EJ16" s="154"/>
      <c r="EK16" s="154"/>
      <c r="EL16" s="154"/>
      <c r="EM16" s="154"/>
      <c r="EN16" s="154"/>
      <c r="EO16" s="8" t="s">
        <v>765</v>
      </c>
      <c r="EP16" s="997"/>
      <c r="EQ16" s="997"/>
      <c r="ER16" s="1001">
        <v>1000</v>
      </c>
      <c r="ES16" s="997"/>
      <c r="ET16" s="1141"/>
      <c r="EU16" s="1141"/>
      <c r="EV16" s="1154"/>
      <c r="EW16" s="1154"/>
      <c r="EX16" s="154"/>
      <c r="EY16" s="154"/>
      <c r="EZ16" s="154"/>
    </row>
    <row r="17" spans="1:156" ht="14.25" customHeight="1">
      <c r="A17" s="20" t="s">
        <v>910</v>
      </c>
      <c r="B17" s="21" t="s">
        <v>402</v>
      </c>
      <c r="C17" s="22" t="s">
        <v>3</v>
      </c>
      <c r="D17" s="23" t="s">
        <v>82</v>
      </c>
      <c r="E17" s="21" t="s">
        <v>82</v>
      </c>
      <c r="F17" s="21" t="s">
        <v>138</v>
      </c>
      <c r="G17" s="6"/>
      <c r="H17" s="24"/>
      <c r="I17" s="181">
        <v>75</v>
      </c>
      <c r="J17" s="182">
        <v>106</v>
      </c>
      <c r="K17" s="182">
        <v>132</v>
      </c>
      <c r="L17" s="182">
        <v>49</v>
      </c>
      <c r="M17" s="182">
        <v>18</v>
      </c>
      <c r="N17" s="182">
        <v>72</v>
      </c>
      <c r="O17" s="182">
        <v>0</v>
      </c>
      <c r="P17" s="182">
        <v>0</v>
      </c>
      <c r="Q17" s="182">
        <v>1</v>
      </c>
      <c r="R17" s="182">
        <v>6</v>
      </c>
      <c r="S17" s="182">
        <v>117</v>
      </c>
      <c r="T17" s="182">
        <v>172</v>
      </c>
      <c r="U17" s="182">
        <v>191</v>
      </c>
      <c r="V17" s="182">
        <v>99</v>
      </c>
      <c r="W17" s="182">
        <v>14</v>
      </c>
      <c r="X17" s="188">
        <v>116</v>
      </c>
      <c r="Y17" s="201">
        <v>0</v>
      </c>
      <c r="Z17" s="182">
        <v>0</v>
      </c>
      <c r="AA17" s="182">
        <v>0</v>
      </c>
      <c r="AB17" s="182">
        <v>0</v>
      </c>
      <c r="AC17" s="182">
        <v>0</v>
      </c>
      <c r="AD17" s="182">
        <v>0</v>
      </c>
      <c r="AE17" s="182">
        <v>0</v>
      </c>
      <c r="AF17" s="188">
        <v>0</v>
      </c>
      <c r="AG17" s="201">
        <v>0</v>
      </c>
      <c r="AH17" s="182">
        <v>0</v>
      </c>
      <c r="AI17" s="182">
        <v>0</v>
      </c>
      <c r="AJ17" s="202">
        <v>0</v>
      </c>
      <c r="AK17" s="181">
        <v>0</v>
      </c>
      <c r="AL17" s="182">
        <v>0</v>
      </c>
      <c r="AM17" s="182">
        <v>0</v>
      </c>
      <c r="AN17" s="188">
        <v>0</v>
      </c>
      <c r="AO17" s="258">
        <v>1</v>
      </c>
      <c r="AP17" s="154">
        <v>0</v>
      </c>
      <c r="AQ17" s="153">
        <v>0</v>
      </c>
      <c r="AR17" s="154">
        <v>0</v>
      </c>
      <c r="AS17" s="338" t="s">
        <v>784</v>
      </c>
      <c r="AT17" s="208"/>
      <c r="AU17" s="199"/>
      <c r="AV17" s="208"/>
      <c r="AW17" s="199"/>
      <c r="AX17" s="208"/>
      <c r="AY17" s="128">
        <f t="shared" ref="AY17:BB17" si="14">IF(ISNUMBER(S17),S17," - ")</f>
        <v>117</v>
      </c>
      <c r="AZ17" s="129">
        <f t="shared" si="14"/>
        <v>172</v>
      </c>
      <c r="BA17" s="129">
        <f t="shared" si="14"/>
        <v>191</v>
      </c>
      <c r="BB17" s="129">
        <f t="shared" si="14"/>
        <v>99</v>
      </c>
      <c r="BC17" s="125">
        <f>IF(ISNUMBER(W17),W17," - ")</f>
        <v>14</v>
      </c>
      <c r="BD17" s="126">
        <f>IF(ISNUMBER(BA17/AZ17),BA17/AZ17," - ")</f>
        <v>1.1104651162790697</v>
      </c>
      <c r="BE17" s="127">
        <f>IF(ISNUMBER(BB17/BA17),BB17/BA17, " - ")</f>
        <v>0.51832460732984298</v>
      </c>
      <c r="BF17" s="127">
        <f>IF(ISNUMBER(BC17/BA17),BC17/BA17, " - ")</f>
        <v>7.3298429319371722E-2</v>
      </c>
      <c r="BG17" s="195">
        <f>IF(ISNUMBER((AY17+AZ17)/BA17),(AY17+AZ17)/BA17," - ")</f>
        <v>1.5130890052356021</v>
      </c>
      <c r="BH17" s="154">
        <v>1</v>
      </c>
      <c r="BI17" s="154"/>
      <c r="BJ17" s="199"/>
      <c r="BK17" s="153"/>
      <c r="BL17" s="153"/>
      <c r="BM17" s="153">
        <v>1800</v>
      </c>
      <c r="BN17" s="153"/>
      <c r="BO17" s="153"/>
      <c r="BP17" s="153"/>
      <c r="BQ17" s="153"/>
      <c r="BR17" s="153"/>
      <c r="BS17" s="153"/>
      <c r="BT17" s="153"/>
      <c r="BU17" s="153"/>
      <c r="BV17" s="153"/>
      <c r="BW17" s="153"/>
      <c r="BX17" s="153"/>
      <c r="BY17" s="173" t="s">
        <v>724</v>
      </c>
      <c r="BZ17" s="173" t="s">
        <v>725</v>
      </c>
      <c r="CA17" s="153"/>
      <c r="CB17" s="153"/>
      <c r="CC17" s="153"/>
      <c r="CD17" s="153"/>
      <c r="CE17" s="153"/>
      <c r="CF17" s="153"/>
      <c r="CG17" s="153"/>
      <c r="CH17" s="153"/>
      <c r="CI17" s="153"/>
      <c r="CJ17" s="153"/>
      <c r="CK17" s="153"/>
      <c r="CL17" s="153"/>
      <c r="CM17" s="153"/>
      <c r="CN17" s="153">
        <v>1175</v>
      </c>
      <c r="CO17" s="153">
        <v>1800</v>
      </c>
      <c r="CP17" s="153">
        <v>1175</v>
      </c>
      <c r="CQ17" s="153"/>
      <c r="CR17" s="153"/>
      <c r="CS17" s="153"/>
      <c r="CT17" s="153"/>
      <c r="CU17" s="153"/>
      <c r="CV17" s="155"/>
      <c r="CW17" s="155"/>
      <c r="CX17" s="64"/>
      <c r="CY17" s="155"/>
      <c r="CZ17" s="155"/>
      <c r="DA17" s="155"/>
      <c r="DB17" s="319"/>
      <c r="DC17" s="325"/>
      <c r="DD17" s="155"/>
      <c r="DE17" s="326"/>
      <c r="DF17" s="326"/>
      <c r="DG17" s="155"/>
      <c r="DH17" s="153"/>
      <c r="DI17" s="153"/>
      <c r="DJ17" s="153"/>
      <c r="DK17" s="153"/>
      <c r="DL17" s="153"/>
      <c r="DM17" s="155"/>
      <c r="DN17" s="155"/>
      <c r="DO17" s="155"/>
      <c r="DP17" s="155"/>
      <c r="DQ17" s="155"/>
      <c r="DR17" s="155"/>
      <c r="DS17" s="155"/>
      <c r="DT17" s="155"/>
      <c r="DU17" s="155"/>
      <c r="DV17" s="635"/>
      <c r="DW17" s="635"/>
      <c r="DX17" s="635"/>
      <c r="DY17" s="635"/>
      <c r="DZ17" s="155"/>
      <c r="EA17" s="155"/>
      <c r="EB17" s="154"/>
      <c r="EC17" s="154"/>
      <c r="ED17" s="154"/>
      <c r="EE17" s="154"/>
      <c r="EF17" s="154"/>
      <c r="EG17" s="154"/>
      <c r="EH17" s="154"/>
      <c r="EI17" s="154"/>
      <c r="EJ17" s="154"/>
      <c r="EK17" s="154"/>
      <c r="EL17" s="154"/>
      <c r="EM17" s="154"/>
      <c r="EN17" s="154"/>
      <c r="EO17" s="319" t="s">
        <v>766</v>
      </c>
      <c r="EP17" s="338"/>
      <c r="EQ17" s="338"/>
      <c r="ER17" s="1000">
        <v>1600</v>
      </c>
      <c r="ES17" s="338"/>
      <c r="ET17" s="1141"/>
      <c r="EU17" s="1141"/>
      <c r="EV17" s="1154"/>
      <c r="EW17" s="1154"/>
      <c r="EX17" s="154"/>
      <c r="EY17" s="154"/>
      <c r="EZ17" s="154"/>
    </row>
    <row r="18" spans="1:156" ht="14.25" customHeight="1" thickBot="1">
      <c r="A18" s="74" t="s">
        <v>0</v>
      </c>
      <c r="B18" s="75" t="s">
        <v>402</v>
      </c>
      <c r="C18" s="76" t="s">
        <v>4</v>
      </c>
      <c r="D18" s="77"/>
      <c r="E18" s="78"/>
      <c r="F18" s="78"/>
      <c r="G18" s="79"/>
      <c r="H18" s="80"/>
      <c r="I18" s="183">
        <f t="shared" ref="I18:AT18" si="15">SUBTOTAL(9,I14:I17)</f>
        <v>3437</v>
      </c>
      <c r="J18" s="183">
        <f t="shared" si="15"/>
        <v>1901</v>
      </c>
      <c r="K18" s="183">
        <f t="shared" si="15"/>
        <v>1688</v>
      </c>
      <c r="L18" s="183">
        <f t="shared" si="15"/>
        <v>3396</v>
      </c>
      <c r="M18" s="183">
        <f t="shared" si="15"/>
        <v>277</v>
      </c>
      <c r="N18" s="183">
        <f t="shared" si="15"/>
        <v>875</v>
      </c>
      <c r="O18" s="183">
        <f t="shared" si="15"/>
        <v>6</v>
      </c>
      <c r="P18" s="183">
        <f t="shared" si="15"/>
        <v>38</v>
      </c>
      <c r="Q18" s="183">
        <f t="shared" si="15"/>
        <v>35</v>
      </c>
      <c r="R18" s="183">
        <f t="shared" si="15"/>
        <v>345</v>
      </c>
      <c r="S18" s="183">
        <f t="shared" si="15"/>
        <v>3384</v>
      </c>
      <c r="T18" s="183">
        <f t="shared" si="15"/>
        <v>1975</v>
      </c>
      <c r="U18" s="183">
        <f t="shared" si="15"/>
        <v>1963</v>
      </c>
      <c r="V18" s="183">
        <f t="shared" si="15"/>
        <v>3156</v>
      </c>
      <c r="W18" s="183">
        <f t="shared" si="15"/>
        <v>296</v>
      </c>
      <c r="X18" s="183">
        <f t="shared" si="15"/>
        <v>1256</v>
      </c>
      <c r="Y18" s="183">
        <f t="shared" si="15"/>
        <v>0</v>
      </c>
      <c r="Z18" s="183">
        <f t="shared" si="15"/>
        <v>0</v>
      </c>
      <c r="AA18" s="183">
        <f t="shared" si="15"/>
        <v>0</v>
      </c>
      <c r="AB18" s="183">
        <f t="shared" si="15"/>
        <v>0</v>
      </c>
      <c r="AC18" s="183">
        <f t="shared" si="15"/>
        <v>1</v>
      </c>
      <c r="AD18" s="183">
        <f t="shared" si="15"/>
        <v>5</v>
      </c>
      <c r="AE18" s="183">
        <f t="shared" si="15"/>
        <v>5</v>
      </c>
      <c r="AF18" s="183">
        <f t="shared" si="15"/>
        <v>1</v>
      </c>
      <c r="AG18" s="183">
        <f t="shared" si="15"/>
        <v>0</v>
      </c>
      <c r="AH18" s="183">
        <f t="shared" si="15"/>
        <v>0</v>
      </c>
      <c r="AI18" s="183">
        <f t="shared" si="15"/>
        <v>0</v>
      </c>
      <c r="AJ18" s="183">
        <f t="shared" si="15"/>
        <v>0</v>
      </c>
      <c r="AK18" s="183">
        <f t="shared" si="15"/>
        <v>2</v>
      </c>
      <c r="AL18" s="183">
        <f t="shared" si="15"/>
        <v>4</v>
      </c>
      <c r="AM18" s="183">
        <f t="shared" si="15"/>
        <v>3</v>
      </c>
      <c r="AN18" s="183">
        <f t="shared" si="15"/>
        <v>3</v>
      </c>
      <c r="AO18" s="183">
        <f t="shared" si="15"/>
        <v>7</v>
      </c>
      <c r="AP18" s="183">
        <f t="shared" si="15"/>
        <v>6</v>
      </c>
      <c r="AQ18" s="183">
        <f t="shared" si="15"/>
        <v>6</v>
      </c>
      <c r="AR18" s="183">
        <f t="shared" si="15"/>
        <v>6</v>
      </c>
      <c r="AS18" s="183">
        <f t="shared" si="15"/>
        <v>0</v>
      </c>
      <c r="AT18" s="183">
        <f t="shared" si="15"/>
        <v>0</v>
      </c>
      <c r="AU18" s="203"/>
      <c r="AV18" s="132"/>
      <c r="AW18" s="203"/>
      <c r="AX18" s="132"/>
      <c r="AY18" s="183">
        <f>SUBTOTAL(9,AY14:AY17)</f>
        <v>3384</v>
      </c>
      <c r="AZ18" s="183">
        <f>SUBTOTAL(9,AZ14:AZ17)</f>
        <v>1975</v>
      </c>
      <c r="BA18" s="183">
        <f>SUBTOTAL(9,BA14:BA17)</f>
        <v>1963</v>
      </c>
      <c r="BB18" s="183">
        <f>SUBTOTAL(9,BB14:BB17)</f>
        <v>3156</v>
      </c>
      <c r="BC18" s="183">
        <f>SUBTOTAL(9,BC14:BC17)</f>
        <v>296</v>
      </c>
      <c r="BD18" s="204">
        <f>IF(ISNUMBER(BA18/AZ18),BA18/AZ18," - ")</f>
        <v>0.99392405063291134</v>
      </c>
      <c r="BE18" s="205">
        <f>IF(ISNUMBER(BB18/BA18),BB18/BA18, " - ")</f>
        <v>1.6077432501273561</v>
      </c>
      <c r="BF18" s="205">
        <f>IF(ISNUMBER(BC18/BA18),BC18/BA18, " - ")</f>
        <v>0.15078960774325012</v>
      </c>
      <c r="BG18" s="206">
        <f>IF(ISNUMBER((AY18+AZ18)/BA18),(AY18+AZ18)/BA18," - ")</f>
        <v>2.7300050942435048</v>
      </c>
      <c r="BH18" s="183">
        <f>SUBTOTAL(9,BH14:BH17)</f>
        <v>7</v>
      </c>
      <c r="BI18" s="183">
        <f>SUBTOTAL(9,BI14:BI17)</f>
        <v>0</v>
      </c>
      <c r="BJ18" s="183">
        <f>SUBTOTAL(9,BJ14:BJ17)</f>
        <v>0</v>
      </c>
      <c r="BK18" s="183">
        <f>SUBTOTAL(9,BK14:BK17)</f>
        <v>0</v>
      </c>
      <c r="BL18" s="183">
        <f>SUBTOTAL(9,BL14:BL17)</f>
        <v>0</v>
      </c>
      <c r="BM18" s="139">
        <f>AVERAGE(BM15:BM17)</f>
        <v>3650</v>
      </c>
      <c r="BN18" s="150"/>
      <c r="BO18" s="150"/>
      <c r="BP18" s="150"/>
      <c r="BQ18" s="150"/>
      <c r="BR18" s="150"/>
      <c r="BS18" s="150"/>
      <c r="BT18" s="150"/>
      <c r="BU18" s="150"/>
      <c r="BV18" s="183"/>
      <c r="BW18" s="183"/>
      <c r="BX18" s="183"/>
      <c r="BY18" s="150"/>
      <c r="BZ18" s="150"/>
      <c r="CA18" s="183">
        <f t="shared" ref="CA18:CL18" si="16">SUBTOTAL(9,CA14:CA17)</f>
        <v>0</v>
      </c>
      <c r="CB18" s="183">
        <f t="shared" si="16"/>
        <v>0</v>
      </c>
      <c r="CC18" s="183">
        <f t="shared" si="16"/>
        <v>0</v>
      </c>
      <c r="CD18" s="183">
        <f t="shared" si="16"/>
        <v>0</v>
      </c>
      <c r="CE18" s="183">
        <f t="shared" si="16"/>
        <v>0</v>
      </c>
      <c r="CF18" s="183">
        <f t="shared" si="16"/>
        <v>0</v>
      </c>
      <c r="CG18" s="183">
        <f t="shared" si="16"/>
        <v>0</v>
      </c>
      <c r="CH18" s="183">
        <f t="shared" si="16"/>
        <v>0</v>
      </c>
      <c r="CI18" s="183">
        <f t="shared" si="16"/>
        <v>0</v>
      </c>
      <c r="CJ18" s="183">
        <f t="shared" si="16"/>
        <v>0</v>
      </c>
      <c r="CK18" s="183">
        <f t="shared" si="16"/>
        <v>0</v>
      </c>
      <c r="CL18" s="183">
        <f t="shared" si="16"/>
        <v>0</v>
      </c>
      <c r="CM18" s="295"/>
      <c r="CN18" s="150"/>
      <c r="CO18" s="150"/>
      <c r="CP18" s="150"/>
      <c r="CQ18" s="150"/>
      <c r="CR18" s="150"/>
      <c r="CS18" s="150"/>
      <c r="CT18" s="150"/>
      <c r="CU18" s="150"/>
      <c r="CV18" s="183">
        <f>SUBTOTAL(9,CV15:CV17)</f>
        <v>0</v>
      </c>
      <c r="CW18" s="183">
        <f>SUBTOTAL(9,CW15:CW17)</f>
        <v>0</v>
      </c>
      <c r="CX18" s="183"/>
      <c r="CY18" s="183">
        <f t="shared" ref="CY18:EN18" si="17">SUBTOTAL(9,CY15:CY17)</f>
        <v>0</v>
      </c>
      <c r="CZ18" s="183">
        <f t="shared" si="17"/>
        <v>0</v>
      </c>
      <c r="DA18" s="183">
        <f t="shared" si="17"/>
        <v>0</v>
      </c>
      <c r="DB18" s="183">
        <f t="shared" si="17"/>
        <v>0</v>
      </c>
      <c r="DC18" s="183">
        <f t="shared" si="17"/>
        <v>0</v>
      </c>
      <c r="DD18" s="183">
        <f t="shared" si="17"/>
        <v>0</v>
      </c>
      <c r="DE18" s="183">
        <f t="shared" si="17"/>
        <v>0</v>
      </c>
      <c r="DF18" s="183">
        <f t="shared" si="17"/>
        <v>0</v>
      </c>
      <c r="DG18" s="183">
        <f t="shared" si="17"/>
        <v>0</v>
      </c>
      <c r="DH18" s="183">
        <f t="shared" si="17"/>
        <v>0</v>
      </c>
      <c r="DI18" s="183">
        <f t="shared" si="17"/>
        <v>0</v>
      </c>
      <c r="DJ18" s="183">
        <f t="shared" si="17"/>
        <v>0</v>
      </c>
      <c r="DK18" s="183">
        <f t="shared" si="17"/>
        <v>0</v>
      </c>
      <c r="DL18" s="183">
        <f t="shared" si="17"/>
        <v>0</v>
      </c>
      <c r="DM18" s="183">
        <f t="shared" si="17"/>
        <v>0</v>
      </c>
      <c r="DN18" s="183">
        <f t="shared" si="17"/>
        <v>0</v>
      </c>
      <c r="DO18" s="183">
        <f t="shared" si="17"/>
        <v>0</v>
      </c>
      <c r="DP18" s="183">
        <f t="shared" si="17"/>
        <v>0</v>
      </c>
      <c r="DQ18" s="183">
        <f t="shared" si="17"/>
        <v>0</v>
      </c>
      <c r="DR18" s="183">
        <f t="shared" si="17"/>
        <v>0</v>
      </c>
      <c r="DS18" s="183">
        <f t="shared" si="17"/>
        <v>0</v>
      </c>
      <c r="DT18" s="183">
        <f t="shared" si="17"/>
        <v>0</v>
      </c>
      <c r="DU18" s="183">
        <f t="shared" si="17"/>
        <v>0</v>
      </c>
      <c r="DV18" s="637">
        <f t="shared" si="17"/>
        <v>0</v>
      </c>
      <c r="DW18" s="637">
        <f t="shared" si="17"/>
        <v>0</v>
      </c>
      <c r="DX18" s="637">
        <f t="shared" si="17"/>
        <v>0</v>
      </c>
      <c r="DY18" s="637">
        <f t="shared" si="17"/>
        <v>0</v>
      </c>
      <c r="DZ18" s="183">
        <f t="shared" si="17"/>
        <v>0</v>
      </c>
      <c r="EA18" s="183">
        <f t="shared" si="17"/>
        <v>0</v>
      </c>
      <c r="EB18" s="183">
        <f t="shared" si="17"/>
        <v>0</v>
      </c>
      <c r="EC18" s="183">
        <f t="shared" si="17"/>
        <v>0</v>
      </c>
      <c r="ED18" s="183">
        <f t="shared" si="17"/>
        <v>0</v>
      </c>
      <c r="EE18" s="183">
        <f t="shared" si="17"/>
        <v>0</v>
      </c>
      <c r="EF18" s="183">
        <f t="shared" si="17"/>
        <v>0</v>
      </c>
      <c r="EG18" s="183">
        <f t="shared" si="17"/>
        <v>0</v>
      </c>
      <c r="EH18" s="183">
        <f t="shared" si="17"/>
        <v>0</v>
      </c>
      <c r="EI18" s="183">
        <f t="shared" si="17"/>
        <v>0</v>
      </c>
      <c r="EJ18" s="183">
        <f t="shared" si="17"/>
        <v>0</v>
      </c>
      <c r="EK18" s="183">
        <f t="shared" si="17"/>
        <v>0</v>
      </c>
      <c r="EL18" s="183">
        <f t="shared" si="17"/>
        <v>0</v>
      </c>
      <c r="EM18" s="183">
        <f t="shared" si="17"/>
        <v>0</v>
      </c>
      <c r="EN18" s="183">
        <f t="shared" si="17"/>
        <v>0</v>
      </c>
      <c r="EO18" s="321"/>
      <c r="EP18" s="637">
        <f>SUBTOTAL(9,EP15:EP17)</f>
        <v>0</v>
      </c>
      <c r="EQ18" s="637">
        <f>SUBTOTAL(9,EQ15:EQ17)</f>
        <v>0</v>
      </c>
      <c r="ER18" s="150">
        <f>AVERAGE(ER15:ER17)</f>
        <v>1966.6666666666667</v>
      </c>
      <c r="ES18" s="637"/>
      <c r="ET18" s="139"/>
      <c r="EU18" s="1143"/>
      <c r="EV18" s="150">
        <f>SUBTOTAL(9,EV15:EV17)</f>
        <v>0</v>
      </c>
      <c r="EW18" s="150">
        <f>SUBTOTAL(9,EW15:EW17)</f>
        <v>0</v>
      </c>
      <c r="EX18" s="150">
        <f>SUBTOTAL(9,EX15:EX17)</f>
        <v>0</v>
      </c>
      <c r="EY18" s="150">
        <f>SUBTOTAL(9,EY15:EY17)</f>
        <v>0</v>
      </c>
      <c r="EZ18" s="150"/>
    </row>
    <row r="19" spans="1:156" ht="14.25" customHeight="1" thickBot="1">
      <c r="A19" s="89" t="s">
        <v>1</v>
      </c>
      <c r="B19" s="90"/>
      <c r="C19" s="91" t="s">
        <v>25</v>
      </c>
      <c r="D19" s="92"/>
      <c r="E19" s="90"/>
      <c r="F19" s="90"/>
      <c r="G19" s="93"/>
      <c r="H19" s="94"/>
      <c r="I19" s="134">
        <f t="shared" ref="I19:AT19" si="18">SUBTOTAL(9,I9:I18)</f>
        <v>10421</v>
      </c>
      <c r="J19" s="134">
        <f t="shared" si="18"/>
        <v>3352</v>
      </c>
      <c r="K19" s="134">
        <f t="shared" si="18"/>
        <v>4087</v>
      </c>
      <c r="L19" s="134">
        <f t="shared" si="18"/>
        <v>9432</v>
      </c>
      <c r="M19" s="134">
        <f t="shared" si="18"/>
        <v>727</v>
      </c>
      <c r="N19" s="134">
        <f t="shared" si="18"/>
        <v>2174</v>
      </c>
      <c r="O19" s="134">
        <f t="shared" si="18"/>
        <v>751</v>
      </c>
      <c r="P19" s="134">
        <f t="shared" si="18"/>
        <v>686</v>
      </c>
      <c r="Q19" s="134">
        <f t="shared" si="18"/>
        <v>268</v>
      </c>
      <c r="R19" s="134">
        <f t="shared" si="18"/>
        <v>9468</v>
      </c>
      <c r="S19" s="134">
        <f t="shared" si="18"/>
        <v>10037</v>
      </c>
      <c r="T19" s="134">
        <f t="shared" si="18"/>
        <v>3630</v>
      </c>
      <c r="U19" s="134">
        <f t="shared" si="18"/>
        <v>3495</v>
      </c>
      <c r="V19" s="134">
        <f t="shared" si="18"/>
        <v>9914</v>
      </c>
      <c r="W19" s="134">
        <f t="shared" si="18"/>
        <v>703</v>
      </c>
      <c r="X19" s="134">
        <f t="shared" si="18"/>
        <v>1932</v>
      </c>
      <c r="Y19" s="134">
        <f t="shared" si="18"/>
        <v>127</v>
      </c>
      <c r="Z19" s="134">
        <f t="shared" si="18"/>
        <v>183</v>
      </c>
      <c r="AA19" s="134">
        <f t="shared" si="18"/>
        <v>178</v>
      </c>
      <c r="AB19" s="134">
        <f t="shared" si="18"/>
        <v>132</v>
      </c>
      <c r="AC19" s="134">
        <f t="shared" si="18"/>
        <v>1</v>
      </c>
      <c r="AD19" s="134">
        <f t="shared" si="18"/>
        <v>5</v>
      </c>
      <c r="AE19" s="134">
        <f t="shared" si="18"/>
        <v>5</v>
      </c>
      <c r="AF19" s="134">
        <f t="shared" si="18"/>
        <v>1</v>
      </c>
      <c r="AG19" s="134">
        <f t="shared" si="18"/>
        <v>81</v>
      </c>
      <c r="AH19" s="134">
        <f t="shared" si="18"/>
        <v>94</v>
      </c>
      <c r="AI19" s="134">
        <f t="shared" si="18"/>
        <v>101</v>
      </c>
      <c r="AJ19" s="134">
        <f t="shared" si="18"/>
        <v>74</v>
      </c>
      <c r="AK19" s="134">
        <f t="shared" si="18"/>
        <v>2</v>
      </c>
      <c r="AL19" s="134">
        <f t="shared" si="18"/>
        <v>4</v>
      </c>
      <c r="AM19" s="134">
        <f t="shared" si="18"/>
        <v>3</v>
      </c>
      <c r="AN19" s="209">
        <f t="shared" si="18"/>
        <v>3</v>
      </c>
      <c r="AO19" s="210">
        <v>7</v>
      </c>
      <c r="AP19" s="210">
        <v>6</v>
      </c>
      <c r="AQ19" s="210">
        <v>6</v>
      </c>
      <c r="AR19" s="210">
        <v>6</v>
      </c>
      <c r="AS19" s="152">
        <f t="shared" si="18"/>
        <v>0</v>
      </c>
      <c r="AT19" s="152">
        <f t="shared" si="18"/>
        <v>0</v>
      </c>
      <c r="AU19" s="210"/>
      <c r="AV19" s="211"/>
      <c r="AW19" s="210"/>
      <c r="AX19" s="211"/>
      <c r="AY19" s="133">
        <f>SUBTOTAL(9,AY9:AY18)</f>
        <v>10118</v>
      </c>
      <c r="AZ19" s="134">
        <f>SUBTOTAL(9,AZ9:AZ18)</f>
        <v>3724</v>
      </c>
      <c r="BA19" s="134">
        <f>SUBTOTAL(9,BA9:BA18)</f>
        <v>3596</v>
      </c>
      <c r="BB19" s="134">
        <f>SUBTOTAL(9,BB9:BB18)</f>
        <v>9988</v>
      </c>
      <c r="BC19" s="135">
        <f>SUBTOTAL(9,BC9:BC18)</f>
        <v>970</v>
      </c>
      <c r="BD19" s="212">
        <f>IF(ISNUMBER(BA19/AZ19),BA19/AZ19," - ")</f>
        <v>0.96562835660580026</v>
      </c>
      <c r="BE19" s="209">
        <f>IF(ISNUMBER(BB19/BA19),BB19/BA19, " - ")</f>
        <v>2.7775305895439377</v>
      </c>
      <c r="BF19" s="209">
        <f>IF(ISNUMBER(BC19/BA19),BC19/BA19, " - ")</f>
        <v>0.26974416017797553</v>
      </c>
      <c r="BG19" s="135">
        <f>IF(ISNUMBER((AY19+AZ19)/BA19),(AY19+AZ19)/BA19," - ")</f>
        <v>3.8492769744160178</v>
      </c>
      <c r="BH19" s="210">
        <f>SUBTOTAL(9,BH9:BH18)</f>
        <v>14</v>
      </c>
      <c r="BI19" s="210">
        <v>0</v>
      </c>
      <c r="BJ19" s="210"/>
      <c r="BK19" s="210">
        <f>SUBTOTAL(9,BK9:BK18)</f>
        <v>0</v>
      </c>
      <c r="BL19" s="210"/>
      <c r="BM19" s="210">
        <f>AVERAGE(BM9:BM18)</f>
        <v>1913.8888888888889</v>
      </c>
      <c r="BN19" s="210"/>
      <c r="BO19" s="210"/>
      <c r="BP19" s="210"/>
      <c r="BQ19" s="210"/>
      <c r="BR19" s="210"/>
      <c r="BS19" s="210"/>
      <c r="BT19" s="210"/>
      <c r="BU19" s="210"/>
      <c r="BV19" s="210"/>
      <c r="BW19" s="210"/>
      <c r="BX19" s="210"/>
      <c r="BY19" s="152"/>
      <c r="BZ19" s="152"/>
      <c r="CA19" s="210"/>
      <c r="CB19" s="210"/>
      <c r="CC19" s="210"/>
      <c r="CD19" s="210"/>
      <c r="CE19" s="210"/>
      <c r="CF19" s="210"/>
      <c r="CG19" s="210"/>
      <c r="CH19" s="210"/>
      <c r="CI19" s="210">
        <f>SUM(CI9:CI18)</f>
        <v>0</v>
      </c>
      <c r="CJ19" s="210">
        <f>SUM(CJ9:CJ18)</f>
        <v>0</v>
      </c>
      <c r="CK19" s="210">
        <f>SUM(CK9:CK18)</f>
        <v>0</v>
      </c>
      <c r="CL19" s="210">
        <f>SUM(CL9:CL18)</f>
        <v>0</v>
      </c>
      <c r="CM19" s="210"/>
      <c r="CN19" s="210">
        <f>SUBTOTAL(9,CN9:CN18)</f>
        <v>9073.75</v>
      </c>
      <c r="CO19" s="210">
        <f>SUBTOTAL(9,CO9:CO18)</f>
        <v>17030</v>
      </c>
      <c r="CP19" s="210">
        <f>SUBTOTAL(9,CP9:CP18)</f>
        <v>9073.75</v>
      </c>
      <c r="CQ19" s="152"/>
      <c r="CR19" s="152"/>
      <c r="CS19" s="152"/>
      <c r="CT19" s="152"/>
      <c r="CU19" s="152"/>
      <c r="CV19" s="152"/>
      <c r="CW19" s="152"/>
      <c r="CX19" s="116"/>
      <c r="CY19" s="152"/>
      <c r="CZ19" s="152"/>
      <c r="DA19" s="152"/>
      <c r="DB19" s="327">
        <f>SUBTOTAL(9,DB9:DB18)</f>
        <v>0</v>
      </c>
      <c r="DC19" s="327">
        <f>SUBTOTAL(9,DC9:DC18)</f>
        <v>0</v>
      </c>
      <c r="DD19" s="327">
        <f>SUBTOTAL(9,DD9:DD18)</f>
        <v>0</v>
      </c>
      <c r="DE19" s="327">
        <f>SUBTOTAL(9,DE9:DE18)</f>
        <v>0</v>
      </c>
      <c r="DF19" s="327">
        <f>SUBTOTAL(9,DF9:DF18)</f>
        <v>0</v>
      </c>
      <c r="DG19" s="152"/>
      <c r="DH19" s="152"/>
      <c r="DI19" s="152"/>
      <c r="DJ19" s="152"/>
      <c r="DK19" s="152"/>
      <c r="DL19" s="152"/>
      <c r="DM19" s="152">
        <f t="shared" ref="DM19:EN19" si="19">SUBTOTAL(9,DM9:DM18)</f>
        <v>0</v>
      </c>
      <c r="DN19" s="152">
        <f t="shared" si="19"/>
        <v>0</v>
      </c>
      <c r="DO19" s="152">
        <f t="shared" si="19"/>
        <v>0</v>
      </c>
      <c r="DP19" s="152">
        <f t="shared" si="19"/>
        <v>0</v>
      </c>
      <c r="DQ19" s="152">
        <f t="shared" si="19"/>
        <v>0</v>
      </c>
      <c r="DR19" s="152">
        <f t="shared" si="19"/>
        <v>0</v>
      </c>
      <c r="DS19" s="152">
        <f t="shared" si="19"/>
        <v>0</v>
      </c>
      <c r="DT19" s="152">
        <f t="shared" si="19"/>
        <v>0</v>
      </c>
      <c r="DU19" s="152">
        <f t="shared" si="19"/>
        <v>0</v>
      </c>
      <c r="DV19" s="152">
        <f t="shared" si="19"/>
        <v>0</v>
      </c>
      <c r="DW19" s="152">
        <f t="shared" si="19"/>
        <v>0</v>
      </c>
      <c r="DX19" s="152">
        <f t="shared" si="19"/>
        <v>0</v>
      </c>
      <c r="DY19" s="152">
        <f t="shared" si="19"/>
        <v>0</v>
      </c>
      <c r="DZ19" s="152">
        <f t="shared" si="19"/>
        <v>0</v>
      </c>
      <c r="EA19" s="152">
        <f t="shared" si="19"/>
        <v>0</v>
      </c>
      <c r="EB19" s="152">
        <f t="shared" si="19"/>
        <v>0</v>
      </c>
      <c r="EC19" s="152">
        <f t="shared" si="19"/>
        <v>0</v>
      </c>
      <c r="ED19" s="152">
        <f t="shared" si="19"/>
        <v>0</v>
      </c>
      <c r="EE19" s="152">
        <f t="shared" si="19"/>
        <v>0</v>
      </c>
      <c r="EF19" s="152">
        <f t="shared" si="19"/>
        <v>0</v>
      </c>
      <c r="EG19" s="152">
        <f t="shared" si="19"/>
        <v>0</v>
      </c>
      <c r="EH19" s="152">
        <f t="shared" si="19"/>
        <v>0</v>
      </c>
      <c r="EI19" s="152">
        <f t="shared" si="19"/>
        <v>0</v>
      </c>
      <c r="EJ19" s="152">
        <f t="shared" si="19"/>
        <v>0</v>
      </c>
      <c r="EK19" s="152">
        <f t="shared" si="19"/>
        <v>0</v>
      </c>
      <c r="EL19" s="152">
        <f t="shared" si="19"/>
        <v>0</v>
      </c>
      <c r="EM19" s="152">
        <f t="shared" si="19"/>
        <v>0</v>
      </c>
      <c r="EN19" s="152">
        <f t="shared" si="19"/>
        <v>0</v>
      </c>
      <c r="EO19" s="327"/>
      <c r="EP19" s="152">
        <f>SUBTOTAL(9,EP9:EP18)</f>
        <v>0</v>
      </c>
      <c r="EQ19" s="152">
        <f>SUBTOTAL(9,EQ9:EQ18)</f>
        <v>0</v>
      </c>
      <c r="ER19" s="150">
        <f>AVERAGE(ER9:ER18)</f>
        <v>1517.762962962963</v>
      </c>
      <c r="ES19" s="150">
        <f>AVERAGE(ES9:ES18)</f>
        <v>0</v>
      </c>
      <c r="ET19" s="1143"/>
      <c r="EU19" s="1143"/>
      <c r="EV19" s="150">
        <f>AVERAGE(EV9:EV18)</f>
        <v>0</v>
      </c>
      <c r="EW19" s="150">
        <f>AVERAGE(EW9:EW18)</f>
        <v>0</v>
      </c>
      <c r="EX19" s="152"/>
      <c r="EY19" s="152"/>
      <c r="EZ19" s="152"/>
    </row>
    <row r="20" spans="1:156" ht="13.5" thickBot="1">
      <c r="E20" s="33"/>
    </row>
    <row r="21" spans="1:156" ht="13.5" thickBot="1">
      <c r="D21" s="34"/>
      <c r="E21" s="35" t="s">
        <v>34</v>
      </c>
      <c r="F21" s="35"/>
      <c r="G21" s="36"/>
      <c r="H21" s="37"/>
    </row>
    <row r="22" spans="1:156" ht="13.5" thickBot="1">
      <c r="D22" s="38" t="s">
        <v>26</v>
      </c>
      <c r="E22" s="39"/>
      <c r="F22" s="39"/>
      <c r="G22" s="40"/>
      <c r="H22" s="41"/>
      <c r="AO22" s="65" t="s">
        <v>99</v>
      </c>
    </row>
    <row r="23" spans="1:156">
      <c r="D23" s="42" t="s">
        <v>27</v>
      </c>
      <c r="H23" s="43"/>
    </row>
    <row r="24" spans="1:156">
      <c r="D24" s="42" t="s">
        <v>28</v>
      </c>
      <c r="H24" s="43"/>
    </row>
    <row r="25" spans="1:156" ht="13.5" thickBot="1">
      <c r="D25" s="44" t="s">
        <v>29</v>
      </c>
      <c r="E25" s="45"/>
      <c r="F25" s="45"/>
      <c r="G25" s="46"/>
      <c r="H25" s="47"/>
    </row>
    <row r="26" spans="1:156">
      <c r="J26" s="33"/>
    </row>
    <row r="27" spans="1:156">
      <c r="A27" s="33"/>
    </row>
  </sheetData>
  <sheetProtection algorithmName="SHA-512" hashValue="PYtWjJoc1wfnupMsbvL+i5sj7YquKQJ1IEZtvHx8w56MUWq4DS+0iZSzIW/3JDlALjq6OZMmJ2EODbVc426tCQ==" saltValue="GwNrtuNLKcecodoVyikASA==" spinCount="100000" sheet="1" objects="1" scenarios="1"/>
  <mergeCells count="124">
    <mergeCell ref="EZ5:EZ7"/>
    <mergeCell ref="EY5:EY7"/>
    <mergeCell ref="CJ5:CJ7"/>
    <mergeCell ref="CK5:CK7"/>
    <mergeCell ref="CD5:CD7"/>
    <mergeCell ref="CL5:CL7"/>
    <mergeCell ref="CI5:CI7"/>
    <mergeCell ref="EX5:EX7"/>
    <mergeCell ref="EV5:EV7"/>
    <mergeCell ref="EW5:EW7"/>
    <mergeCell ref="DB5:DB7"/>
    <mergeCell ref="DC5:DC7"/>
    <mergeCell ref="CT5:CT7"/>
    <mergeCell ref="CV5:CV7"/>
    <mergeCell ref="CU5:CU7"/>
    <mergeCell ref="DA5:DA7"/>
    <mergeCell ref="CW5:CW7"/>
    <mergeCell ref="CN5:CN7"/>
    <mergeCell ref="CO5:CO7"/>
    <mergeCell ref="CR5:CR7"/>
    <mergeCell ref="DH5:DH7"/>
    <mergeCell ref="CY5:CY7"/>
    <mergeCell ref="DG5:DG7"/>
    <mergeCell ref="DE5:DE7"/>
    <mergeCell ref="CQ5:CQ7"/>
    <mergeCell ref="AO5:AO7"/>
    <mergeCell ref="BI5:BI7"/>
    <mergeCell ref="BN5:BO5"/>
    <mergeCell ref="CX5:CX7"/>
    <mergeCell ref="CZ5:CZ7"/>
    <mergeCell ref="AQ5:AQ7"/>
    <mergeCell ref="AR5:AR7"/>
    <mergeCell ref="AX5:AX7"/>
    <mergeCell ref="BH5:BH7"/>
    <mergeCell ref="BN6:BN7"/>
    <mergeCell ref="BO6:BO7"/>
    <mergeCell ref="BT5:BU5"/>
    <mergeCell ref="BS6:BS7"/>
    <mergeCell ref="BT6:BT7"/>
    <mergeCell ref="AT5:AT7"/>
    <mergeCell ref="BM5:BM7"/>
    <mergeCell ref="BJ5:BJ7"/>
    <mergeCell ref="AY5:BC6"/>
    <mergeCell ref="CB5:CB7"/>
    <mergeCell ref="CC5:CC7"/>
    <mergeCell ref="BR6:BR7"/>
    <mergeCell ref="CM5:CM7"/>
    <mergeCell ref="CS5:CS7"/>
    <mergeCell ref="CP5:CP7"/>
    <mergeCell ref="A5:A6"/>
    <mergeCell ref="B5:B7"/>
    <mergeCell ref="C5:C7"/>
    <mergeCell ref="P6:R6"/>
    <mergeCell ref="D5:H6"/>
    <mergeCell ref="AG6:AJ6"/>
    <mergeCell ref="I5:AN5"/>
    <mergeCell ref="I6:O6"/>
    <mergeCell ref="S6:X6"/>
    <mergeCell ref="Y6:AB6"/>
    <mergeCell ref="AK6:AN6"/>
    <mergeCell ref="AC6:AF6"/>
    <mergeCell ref="CE4:CH4"/>
    <mergeCell ref="CE5:CE7"/>
    <mergeCell ref="CG5:CG7"/>
    <mergeCell ref="CH5:CH7"/>
    <mergeCell ref="CF5:CF7"/>
    <mergeCell ref="AP5:AP7"/>
    <mergeCell ref="BY5:BY7"/>
    <mergeCell ref="BD5:BG6"/>
    <mergeCell ref="AU5:AU7"/>
    <mergeCell ref="BU6:BU7"/>
    <mergeCell ref="BV5:BV7"/>
    <mergeCell ref="AS5:AS7"/>
    <mergeCell ref="BK5:BK7"/>
    <mergeCell ref="AW5:AW7"/>
    <mergeCell ref="AV5:AV7"/>
    <mergeCell ref="BP6:BP7"/>
    <mergeCell ref="BQ6:BQ7"/>
    <mergeCell ref="BP5:BQ5"/>
    <mergeCell ref="BR5:BS5"/>
    <mergeCell ref="BX5:BX7"/>
    <mergeCell ref="CA5:CA7"/>
    <mergeCell ref="BW5:BW7"/>
    <mergeCell ref="BL5:BL7"/>
    <mergeCell ref="BZ5:BZ7"/>
    <mergeCell ref="DI5:DI7"/>
    <mergeCell ref="DS5:DS7"/>
    <mergeCell ref="DT5:DT7"/>
    <mergeCell ref="DU5:DU7"/>
    <mergeCell ref="DD5:DD7"/>
    <mergeCell ref="DF5:DF7"/>
    <mergeCell ref="ED5:ED7"/>
    <mergeCell ref="EI5:EI7"/>
    <mergeCell ref="EE5:EE7"/>
    <mergeCell ref="DQ5:DQ7"/>
    <mergeCell ref="DR5:DR7"/>
    <mergeCell ref="DX5:DX7"/>
    <mergeCell ref="DJ5:DJ7"/>
    <mergeCell ref="EA5:EA7"/>
    <mergeCell ref="EF5:EF7"/>
    <mergeCell ref="EC5:EC7"/>
    <mergeCell ref="DK5:DK7"/>
    <mergeCell ref="DL5:DL7"/>
    <mergeCell ref="DM5:DM7"/>
    <mergeCell ref="DN5:DN7"/>
    <mergeCell ref="DO5:DO7"/>
    <mergeCell ref="EB5:EB7"/>
    <mergeCell ref="DW5:DW7"/>
    <mergeCell ref="DP5:DP7"/>
    <mergeCell ref="DY5:DY7"/>
    <mergeCell ref="DZ5:DZ7"/>
    <mergeCell ref="DV5:DV7"/>
    <mergeCell ref="ET5:ET7"/>
    <mergeCell ref="EU5:EU7"/>
    <mergeCell ref="ES5:ES7"/>
    <mergeCell ref="EP5:EP7"/>
    <mergeCell ref="EQ5:EQ7"/>
    <mergeCell ref="ER5:ER7"/>
    <mergeCell ref="EK5:EK7"/>
    <mergeCell ref="EG5:EG7"/>
    <mergeCell ref="EH5:EH7"/>
    <mergeCell ref="EJ5:EJ7"/>
    <mergeCell ref="EO5:EO7"/>
    <mergeCell ref="EL5:EN6"/>
  </mergeCells>
  <phoneticPr fontId="0" type="noConversion"/>
  <conditionalFormatting sqref="I15:R17 CO16 CS16:DD16 BK16:BX16 CS11:DG11 AO11:AS11 AU11 I9:R9 Y9:AB9 AP10 AR10 BH10:BI11 Y11:AB12 BK11:BU11 CE11:CJ11 I11:R12 AO16:AO17 BH16:BI17 AP17 AR17 EP16:EQ16 EV16:EW16">
    <cfRule type="cellIs" dxfId="581" priority="430" stopIfTrue="1" operator="equal">
      <formula>$A$30</formula>
    </cfRule>
  </conditionalFormatting>
  <conditionalFormatting sqref="I13:BC14 I18:BC18 EO18:EQ18 I19:EQ19 EX19:EZ19">
    <cfRule type="cellIs" dxfId="580" priority="1753" stopIfTrue="1" operator="equal">
      <formula>$A$31</formula>
    </cfRule>
  </conditionalFormatting>
  <conditionalFormatting sqref="I1:DG1">
    <cfRule type="cellIs" dxfId="579" priority="2054" stopIfTrue="1" operator="equal">
      <formula>$A$31</formula>
    </cfRule>
  </conditionalFormatting>
  <conditionalFormatting sqref="I8:EZ8">
    <cfRule type="cellIs" dxfId="578" priority="14" stopIfTrue="1" operator="equal">
      <formula>$A$31</formula>
    </cfRule>
  </conditionalFormatting>
  <conditionalFormatting sqref="AS15:AX17 EO17 AP9 AR9:AX9 BH9:BI9 AO9:AO10 AQ9:AQ10 BK9:CJ10 CS9:CU10 S9:X12 AC9:AN12 BJ9:BJ12 CK9:CR12 EO10 Y10:AB10 BV11:BX11 CA11:CD11 AO12:AR12 BH12:BI12 CS12:CU12 AO15:AR15 BH15:BI15 BK15:CJ15 CS15:CU15 CK15:CR17 CV15:DL17 S15:AN17 BJ15:BJ17 AQ17 CS17:CU17 EP9:EQ12 EV15:EW17 AS9:AX12 CV9:EN12 ES9:ES12 EV9:EZ12">
    <cfRule type="cellIs" dxfId="577" priority="492" stopIfTrue="1" operator="equal">
      <formula>$A$31</formula>
    </cfRule>
  </conditionalFormatting>
  <conditionalFormatting sqref="AP16:AS16">
    <cfRule type="cellIs" dxfId="576" priority="1848" stopIfTrue="1" operator="equal">
      <formula>$A$30</formula>
    </cfRule>
  </conditionalFormatting>
  <conditionalFormatting sqref="AS15:AS16">
    <cfRule type="cellIs" dxfId="575" priority="1772" stopIfTrue="1" operator="equal">
      <formula>$A$30</formula>
    </cfRule>
    <cfRule type="cellIs" dxfId="574" priority="1844" stopIfTrue="1" operator="equal">
      <formula>$A$30</formula>
    </cfRule>
  </conditionalFormatting>
  <conditionalFormatting sqref="AS15:AS17">
    <cfRule type="cellIs" dxfId="573" priority="1840" stopIfTrue="1" operator="equal">
      <formula>$A$31</formula>
    </cfRule>
    <cfRule type="cellIs" dxfId="572" priority="1843" stopIfTrue="1" operator="equal">
      <formula>$A$31</formula>
    </cfRule>
  </conditionalFormatting>
  <conditionalFormatting sqref="AS16">
    <cfRule type="cellIs" dxfId="571" priority="1841" stopIfTrue="1" operator="equal">
      <formula>$A$30</formula>
    </cfRule>
  </conditionalFormatting>
  <conditionalFormatting sqref="AU15">
    <cfRule type="cellIs" dxfId="570" priority="1525" stopIfTrue="1" operator="equal">
      <formula>$A$31</formula>
    </cfRule>
    <cfRule type="cellIs" dxfId="569" priority="1527" stopIfTrue="1" operator="equal">
      <formula>$A$30</formula>
    </cfRule>
    <cfRule type="cellIs" dxfId="568" priority="1528" stopIfTrue="1" operator="equal">
      <formula>$A$31</formula>
    </cfRule>
    <cfRule type="cellIs" dxfId="567" priority="1530" stopIfTrue="1" operator="equal">
      <formula>$A$30</formula>
    </cfRule>
    <cfRule type="cellIs" dxfId="566" priority="1531" stopIfTrue="1" operator="equal">
      <formula>$A$31</formula>
    </cfRule>
    <cfRule type="cellIs" dxfId="565" priority="1533" stopIfTrue="1" operator="equal">
      <formula>$A$30</formula>
    </cfRule>
    <cfRule type="cellIs" dxfId="564" priority="1534" stopIfTrue="1" operator="equal">
      <formula>$A$31</formula>
    </cfRule>
    <cfRule type="cellIs" dxfId="563" priority="1536" stopIfTrue="1" operator="equal">
      <formula>$A$30</formula>
    </cfRule>
    <cfRule type="cellIs" dxfId="562" priority="1537" stopIfTrue="1" operator="equal">
      <formula>$A$31</formula>
    </cfRule>
    <cfRule type="cellIs" dxfId="561" priority="1539" stopIfTrue="1" operator="equal">
      <formula>$A$30</formula>
    </cfRule>
    <cfRule type="cellIs" dxfId="560" priority="1540" stopIfTrue="1" operator="equal">
      <formula>$A$31</formula>
    </cfRule>
    <cfRule type="cellIs" dxfId="559" priority="1542" stopIfTrue="1" operator="equal">
      <formula>$A$30</formula>
    </cfRule>
    <cfRule type="cellIs" dxfId="558" priority="1543" stopIfTrue="1" operator="equal">
      <formula>$A$31</formula>
    </cfRule>
  </conditionalFormatting>
  <conditionalFormatting sqref="AU15:AU16">
    <cfRule type="cellIs" dxfId="557" priority="1496" stopIfTrue="1" operator="equal">
      <formula>$A$30</formula>
    </cfRule>
    <cfRule type="cellIs" dxfId="556" priority="1686" stopIfTrue="1" operator="equal">
      <formula>$A$30</formula>
    </cfRule>
  </conditionalFormatting>
  <conditionalFormatting sqref="AU16">
    <cfRule type="cellIs" dxfId="555" priority="1475" stopIfTrue="1" operator="equal">
      <formula>$A$30</formula>
    </cfRule>
    <cfRule type="cellIs" dxfId="554" priority="1476" stopIfTrue="1" operator="equal">
      <formula>$A$31</formula>
    </cfRule>
    <cfRule type="cellIs" dxfId="553" priority="1478" stopIfTrue="1" operator="equal">
      <formula>$A$30</formula>
    </cfRule>
    <cfRule type="cellIs" dxfId="552" priority="1479" stopIfTrue="1" operator="equal">
      <formula>$A$31</formula>
    </cfRule>
    <cfRule type="cellIs" dxfId="551" priority="1481" stopIfTrue="1" operator="equal">
      <formula>$A$30</formula>
    </cfRule>
    <cfRule type="cellIs" dxfId="550" priority="1482" stopIfTrue="1" operator="equal">
      <formula>$A$31</formula>
    </cfRule>
    <cfRule type="cellIs" dxfId="549" priority="1484" stopIfTrue="1" operator="equal">
      <formula>$A$30</formula>
    </cfRule>
    <cfRule type="cellIs" dxfId="548" priority="1485" stopIfTrue="1" operator="equal">
      <formula>$A$31</formula>
    </cfRule>
    <cfRule type="cellIs" dxfId="547" priority="1487" stopIfTrue="1" operator="equal">
      <formula>$A$30</formula>
    </cfRule>
    <cfRule type="cellIs" dxfId="546" priority="1488" stopIfTrue="1" operator="equal">
      <formula>$A$31</formula>
    </cfRule>
    <cfRule type="cellIs" dxfId="545" priority="1490" stopIfTrue="1" operator="equal">
      <formula>$A$30</formula>
    </cfRule>
    <cfRule type="cellIs" dxfId="544" priority="1491" stopIfTrue="1" operator="equal">
      <formula>$A$31</formula>
    </cfRule>
    <cfRule type="cellIs" dxfId="543" priority="1493" stopIfTrue="1" operator="equal">
      <formula>$A$30</formula>
    </cfRule>
    <cfRule type="cellIs" dxfId="542" priority="1494" stopIfTrue="1" operator="equal">
      <formula>$A$31</formula>
    </cfRule>
  </conditionalFormatting>
  <conditionalFormatting sqref="AU17">
    <cfRule type="cellIs" dxfId="541" priority="1424" stopIfTrue="1" operator="equal">
      <formula>$A$31</formula>
    </cfRule>
  </conditionalFormatting>
  <conditionalFormatting sqref="AW11">
    <cfRule type="cellIs" dxfId="540" priority="1651" stopIfTrue="1" operator="equal">
      <formula>$A$30</formula>
    </cfRule>
    <cfRule type="cellIs" dxfId="539" priority="1653" stopIfTrue="1" operator="equal">
      <formula>$A$30</formula>
    </cfRule>
    <cfRule type="cellIs" dxfId="538" priority="1655" stopIfTrue="1" operator="equal">
      <formula>$A$30</formula>
    </cfRule>
    <cfRule type="cellIs" dxfId="537" priority="1657" stopIfTrue="1" operator="equal">
      <formula>$A$30</formula>
    </cfRule>
    <cfRule type="cellIs" dxfId="536" priority="1659" stopIfTrue="1" operator="equal">
      <formula>$A$30</formula>
    </cfRule>
    <cfRule type="cellIs" dxfId="535" priority="1661" stopIfTrue="1" operator="equal">
      <formula>$A$30</formula>
    </cfRule>
    <cfRule type="cellIs" dxfId="534" priority="1663" stopIfTrue="1" operator="equal">
      <formula>$A$30</formula>
    </cfRule>
    <cfRule type="cellIs" dxfId="533" priority="1665" stopIfTrue="1" operator="equal">
      <formula>$A$30</formula>
    </cfRule>
    <cfRule type="cellIs" dxfId="532" priority="1667" stopIfTrue="1" operator="equal">
      <formula>$A$30</formula>
    </cfRule>
    <cfRule type="cellIs" dxfId="531" priority="1669" stopIfTrue="1" operator="equal">
      <formula>$A$30</formula>
    </cfRule>
    <cfRule type="cellIs" dxfId="530" priority="1671" stopIfTrue="1" operator="equal">
      <formula>$A$30</formula>
    </cfRule>
    <cfRule type="cellIs" dxfId="529" priority="1673" stopIfTrue="1" operator="equal">
      <formula>$A$30</formula>
    </cfRule>
    <cfRule type="cellIs" dxfId="528" priority="1675" stopIfTrue="1" operator="equal">
      <formula>$A$30</formula>
    </cfRule>
    <cfRule type="cellIs" dxfId="527" priority="1677" stopIfTrue="1" operator="equal">
      <formula>$A$30</formula>
    </cfRule>
    <cfRule type="cellIs" dxfId="526" priority="1679" stopIfTrue="1" operator="equal">
      <formula>$A$30</formula>
    </cfRule>
  </conditionalFormatting>
  <conditionalFormatting sqref="AW15">
    <cfRule type="cellIs" dxfId="525" priority="1506" stopIfTrue="1" operator="equal">
      <formula>$A$30</formula>
    </cfRule>
    <cfRule type="cellIs" dxfId="524" priority="1507" stopIfTrue="1" operator="equal">
      <formula>$A$31</formula>
    </cfRule>
    <cfRule type="cellIs" dxfId="523" priority="1509" stopIfTrue="1" operator="equal">
      <formula>$A$30</formula>
    </cfRule>
    <cfRule type="cellIs" dxfId="522" priority="1510" stopIfTrue="1" operator="equal">
      <formula>$A$31</formula>
    </cfRule>
    <cfRule type="cellIs" dxfId="521" priority="1512" stopIfTrue="1" operator="equal">
      <formula>$A$30</formula>
    </cfRule>
    <cfRule type="cellIs" dxfId="520" priority="1513" stopIfTrue="1" operator="equal">
      <formula>$A$31</formula>
    </cfRule>
    <cfRule type="cellIs" dxfId="519" priority="1515" stopIfTrue="1" operator="equal">
      <formula>$A$30</formula>
    </cfRule>
    <cfRule type="cellIs" dxfId="518" priority="1516" stopIfTrue="1" operator="equal">
      <formula>$A$31</formula>
    </cfRule>
    <cfRule type="cellIs" dxfId="517" priority="1518" stopIfTrue="1" operator="equal">
      <formula>$A$30</formula>
    </cfRule>
    <cfRule type="cellIs" dxfId="516" priority="1519" stopIfTrue="1" operator="equal">
      <formula>$A$31</formula>
    </cfRule>
    <cfRule type="cellIs" dxfId="515" priority="1521" stopIfTrue="1" operator="equal">
      <formula>$A$30</formula>
    </cfRule>
    <cfRule type="cellIs" dxfId="514" priority="1522" stopIfTrue="1" operator="equal">
      <formula>$A$31</formula>
    </cfRule>
  </conditionalFormatting>
  <conditionalFormatting sqref="AW15:AW16">
    <cfRule type="cellIs" dxfId="513" priority="1472" stopIfTrue="1" operator="equal">
      <formula>$A$30</formula>
    </cfRule>
    <cfRule type="cellIs" dxfId="512" priority="1473" stopIfTrue="1" operator="equal">
      <formula>$A$31</formula>
    </cfRule>
  </conditionalFormatting>
  <conditionalFormatting sqref="AW16">
    <cfRule type="cellIs" dxfId="511" priority="1454" stopIfTrue="1" operator="equal">
      <formula>$A$30</formula>
    </cfRule>
    <cfRule type="cellIs" dxfId="510" priority="1455" stopIfTrue="1" operator="equal">
      <formula>$A$31</formula>
    </cfRule>
    <cfRule type="cellIs" dxfId="509" priority="1457" stopIfTrue="1" operator="equal">
      <formula>$A$30</formula>
    </cfRule>
    <cfRule type="cellIs" dxfId="508" priority="1458" stopIfTrue="1" operator="equal">
      <formula>$A$31</formula>
    </cfRule>
    <cfRule type="cellIs" dxfId="507" priority="1460" stopIfTrue="1" operator="equal">
      <formula>$A$30</formula>
    </cfRule>
    <cfRule type="cellIs" dxfId="506" priority="1461" stopIfTrue="1" operator="equal">
      <formula>$A$31</formula>
    </cfRule>
    <cfRule type="cellIs" dxfId="505" priority="1463" stopIfTrue="1" operator="equal">
      <formula>$A$30</formula>
    </cfRule>
    <cfRule type="cellIs" dxfId="504" priority="1464" stopIfTrue="1" operator="equal">
      <formula>$A$31</formula>
    </cfRule>
    <cfRule type="cellIs" dxfId="503" priority="1466" stopIfTrue="1" operator="equal">
      <formula>$A$30</formula>
    </cfRule>
    <cfRule type="cellIs" dxfId="502" priority="1467" stopIfTrue="1" operator="equal">
      <formula>$A$31</formula>
    </cfRule>
    <cfRule type="cellIs" dxfId="501" priority="1469" stopIfTrue="1" operator="equal">
      <formula>$A$30</formula>
    </cfRule>
    <cfRule type="cellIs" dxfId="500" priority="1470" stopIfTrue="1" operator="equal">
      <formula>$A$31</formula>
    </cfRule>
  </conditionalFormatting>
  <conditionalFormatting sqref="AW17">
    <cfRule type="cellIs" dxfId="499" priority="1395" stopIfTrue="1" operator="equal">
      <formula>$A$31</formula>
    </cfRule>
  </conditionalFormatting>
  <conditionalFormatting sqref="BD14:BG14">
    <cfRule type="cellIs" dxfId="498" priority="2290" stopIfTrue="1" operator="equal">
      <formula>$A$31</formula>
    </cfRule>
  </conditionalFormatting>
  <conditionalFormatting sqref="BH18:EN18">
    <cfRule type="cellIs" dxfId="497" priority="570" stopIfTrue="1" operator="equal">
      <formula>$A$31</formula>
    </cfRule>
  </conditionalFormatting>
  <conditionalFormatting sqref="BH13:EQ14">
    <cfRule type="cellIs" dxfId="496" priority="220" stopIfTrue="1" operator="equal">
      <formula>$A$31</formula>
    </cfRule>
  </conditionalFormatting>
  <conditionalFormatting sqref="BK12:BX12">
    <cfRule type="cellIs" dxfId="495" priority="2289" stopIfTrue="1" operator="equal">
      <formula>$A$31</formula>
    </cfRule>
  </conditionalFormatting>
  <conditionalFormatting sqref="BK17:CJ17">
    <cfRule type="cellIs" dxfId="494" priority="674" stopIfTrue="1" operator="equal">
      <formula>$A$31</formula>
    </cfRule>
  </conditionalFormatting>
  <conditionalFormatting sqref="BN16:BU16">
    <cfRule type="cellIs" dxfId="493" priority="2089" stopIfTrue="1" operator="equal">
      <formula>$A$30</formula>
    </cfRule>
  </conditionalFormatting>
  <conditionalFormatting sqref="BT16:BU16">
    <cfRule type="cellIs" dxfId="492" priority="2095" stopIfTrue="1" operator="equal">
      <formula>$A$31</formula>
    </cfRule>
  </conditionalFormatting>
  <conditionalFormatting sqref="BY11:BZ11">
    <cfRule type="cellIs" dxfId="491" priority="677" stopIfTrue="1" operator="equal">
      <formula>$A$30</formula>
    </cfRule>
  </conditionalFormatting>
  <conditionalFormatting sqref="BY12:CJ12">
    <cfRule type="cellIs" dxfId="490" priority="676" stopIfTrue="1" operator="equal">
      <formula>$A$31</formula>
    </cfRule>
  </conditionalFormatting>
  <conditionalFormatting sqref="BY16:CJ16">
    <cfRule type="cellIs" dxfId="489" priority="675" stopIfTrue="1" operator="equal">
      <formula>$A$30</formula>
    </cfRule>
  </conditionalFormatting>
  <conditionalFormatting sqref="CO11">
    <cfRule type="cellIs" dxfId="488" priority="2291" stopIfTrue="1" operator="equal">
      <formula>$A$30</formula>
    </cfRule>
  </conditionalFormatting>
  <conditionalFormatting sqref="DB15">
    <cfRule type="cellIs" dxfId="487" priority="1858" stopIfTrue="1" operator="equal">
      <formula>$A$30</formula>
    </cfRule>
    <cfRule type="cellIs" dxfId="486" priority="2076" stopIfTrue="1" operator="equal">
      <formula>$A$30</formula>
    </cfRule>
  </conditionalFormatting>
  <conditionalFormatting sqref="DB15:DE17">
    <cfRule type="cellIs" dxfId="485" priority="2067" stopIfTrue="1" operator="equal">
      <formula>$A$31</formula>
    </cfRule>
    <cfRule type="cellIs" dxfId="484" priority="2071" stopIfTrue="1" operator="equal">
      <formula>$A$31</formula>
    </cfRule>
  </conditionalFormatting>
  <conditionalFormatting sqref="DB16:DE16">
    <cfRule type="cellIs" dxfId="483" priority="1860" stopIfTrue="1" operator="equal">
      <formula>$A$30</formula>
    </cfRule>
    <cfRule type="cellIs" dxfId="482" priority="2069" stopIfTrue="1" operator="equal">
      <formula>$A$30</formula>
    </cfRule>
    <cfRule type="cellIs" dxfId="481" priority="2078" stopIfTrue="1" operator="equal">
      <formula>$A$30</formula>
    </cfRule>
  </conditionalFormatting>
  <conditionalFormatting sqref="DB16:DF16">
    <cfRule type="cellIs" dxfId="480" priority="2048" stopIfTrue="1" operator="equal">
      <formula>$A$30</formula>
    </cfRule>
  </conditionalFormatting>
  <conditionalFormatting sqref="DE17">
    <cfRule type="cellIs" dxfId="479" priority="1900" stopIfTrue="1" operator="equal">
      <formula>$A$30</formula>
    </cfRule>
    <cfRule type="cellIs" dxfId="478" priority="2075" stopIfTrue="1" operator="equal">
      <formula>$A$30</formula>
    </cfRule>
  </conditionalFormatting>
  <conditionalFormatting sqref="DF15:DF17">
    <cfRule type="cellIs" dxfId="477" priority="2037" stopIfTrue="1" operator="equal">
      <formula>$A$31</formula>
    </cfRule>
    <cfRule type="cellIs" dxfId="476" priority="2040" stopIfTrue="1" operator="equal">
      <formula>$A$31</formula>
    </cfRule>
  </conditionalFormatting>
  <conditionalFormatting sqref="DF16">
    <cfRule type="cellIs" dxfId="475" priority="2038" stopIfTrue="1" operator="equal">
      <formula>$A$30</formula>
    </cfRule>
  </conditionalFormatting>
  <conditionalFormatting sqref="DF16:DF17">
    <cfRule type="cellIs" dxfId="474" priority="1871" stopIfTrue="1" operator="equal">
      <formula>$A$30</formula>
    </cfRule>
    <cfRule type="cellIs" dxfId="473" priority="2044" stopIfTrue="1" operator="equal">
      <formula>$A$30</formula>
    </cfRule>
  </conditionalFormatting>
  <conditionalFormatting sqref="DG16">
    <cfRule type="cellIs" dxfId="472" priority="754" stopIfTrue="1" operator="equal">
      <formula>$A$30</formula>
    </cfRule>
  </conditionalFormatting>
  <conditionalFormatting sqref="DM1:EA1">
    <cfRule type="cellIs" dxfId="471" priority="618" stopIfTrue="1" operator="equal">
      <formula>$A$31</formula>
    </cfRule>
  </conditionalFormatting>
  <conditionalFormatting sqref="DM15:EK17">
    <cfRule type="cellIs" dxfId="470" priority="607" stopIfTrue="1" operator="equal">
      <formula>$A$31</formula>
    </cfRule>
  </conditionalFormatting>
  <conditionalFormatting sqref="EL15:EN17">
    <cfRule type="cellIs" dxfId="469" priority="494" stopIfTrue="1" operator="equal">
      <formula>$A$31</formula>
    </cfRule>
  </conditionalFormatting>
  <conditionalFormatting sqref="EP11:EQ11">
    <cfRule type="cellIs" dxfId="468" priority="331" stopIfTrue="1" operator="equal">
      <formula>$A$30</formula>
    </cfRule>
  </conditionalFormatting>
  <conditionalFormatting sqref="EP15:EQ16">
    <cfRule type="cellIs" dxfId="467" priority="320" stopIfTrue="1" operator="equal">
      <formula>$A$30</formula>
    </cfRule>
  </conditionalFormatting>
  <conditionalFormatting sqref="EP15:EQ17">
    <cfRule type="cellIs" dxfId="466" priority="329" stopIfTrue="1" operator="equal">
      <formula>$A$31</formula>
    </cfRule>
  </conditionalFormatting>
  <conditionalFormatting sqref="ER14:ES14">
    <cfRule type="cellIs" dxfId="465" priority="174" stopIfTrue="1" operator="equal">
      <formula>$A$31</formula>
    </cfRule>
  </conditionalFormatting>
  <conditionalFormatting sqref="ES11">
    <cfRule type="cellIs" dxfId="464" priority="168" stopIfTrue="1" operator="equal">
      <formula>$A$30</formula>
    </cfRule>
  </conditionalFormatting>
  <conditionalFormatting sqref="ES13">
    <cfRule type="cellIs" dxfId="463" priority="114" stopIfTrue="1" operator="equal">
      <formula>$A$31</formula>
    </cfRule>
  </conditionalFormatting>
  <conditionalFormatting sqref="ES15:ES16">
    <cfRule type="cellIs" dxfId="462" priority="157" stopIfTrue="1" operator="equal">
      <formula>$A$30</formula>
    </cfRule>
  </conditionalFormatting>
  <conditionalFormatting sqref="ES15:ES17">
    <cfRule type="cellIs" dxfId="461" priority="159" stopIfTrue="1" operator="equal">
      <formula>$A$31</formula>
    </cfRule>
  </conditionalFormatting>
  <conditionalFormatting sqref="ES16">
    <cfRule type="cellIs" dxfId="460" priority="160" stopIfTrue="1" operator="equal">
      <formula>$A$30</formula>
    </cfRule>
  </conditionalFormatting>
  <conditionalFormatting sqref="ES18">
    <cfRule type="cellIs" dxfId="459" priority="113" stopIfTrue="1" operator="equal">
      <formula>$A$31</formula>
    </cfRule>
  </conditionalFormatting>
  <conditionalFormatting sqref="ET13:EZ14">
    <cfRule type="cellIs" dxfId="458" priority="12" stopIfTrue="1" operator="equal">
      <formula>$A$31</formula>
    </cfRule>
  </conditionalFormatting>
  <conditionalFormatting sqref="EU18:EZ18">
    <cfRule type="cellIs" dxfId="457" priority="10" stopIfTrue="1" operator="equal">
      <formula>$A$31</formula>
    </cfRule>
  </conditionalFormatting>
  <conditionalFormatting sqref="EV11:EW11">
    <cfRule type="cellIs" dxfId="456" priority="63" stopIfTrue="1" operator="equal">
      <formula>$A$30</formula>
    </cfRule>
  </conditionalFormatting>
  <conditionalFormatting sqref="EX15:EZ17">
    <cfRule type="cellIs" dxfId="455" priority="1" stopIfTrue="1" operator="equal">
      <formula>$A$31</formula>
    </cfRule>
  </conditionalFormatting>
  <conditionalFormatting sqref="I10:R10">
    <cfRule type="cellIs" dxfId="454" priority="3348" stopIfTrue="1" operator="equal">
      <formula>$B$30</formula>
    </cfRule>
  </conditionalFormatting>
  <conditionalFormatting sqref="AW9:AW12">
    <cfRule type="cellIs" dxfId="453" priority="3559" stopIfTrue="1" operator="equal">
      <formula>$A$31</formula>
    </cfRule>
    <cfRule type="cellIs" dxfId="452" priority="3560" stopIfTrue="1" operator="equal">
      <formula>$A$31</formula>
    </cfRule>
    <cfRule type="cellIs" dxfId="451" priority="3561" stopIfTrue="1" operator="equal">
      <formula>$A$31</formula>
    </cfRule>
    <cfRule type="cellIs" dxfId="450" priority="3562" stopIfTrue="1" operator="equal">
      <formula>$A$31</formula>
    </cfRule>
    <cfRule type="cellIs" dxfId="449" priority="3563" stopIfTrue="1" operator="equal">
      <formula>$A$31</formula>
    </cfRule>
    <cfRule type="cellIs" dxfId="448" priority="3564" stopIfTrue="1" operator="equal">
      <formula>$A$31</formula>
    </cfRule>
    <cfRule type="cellIs" dxfId="447" priority="3565" stopIfTrue="1" operator="equal">
      <formula>$A$31</formula>
    </cfRule>
    <cfRule type="cellIs" dxfId="446" priority="3566" stopIfTrue="1" operator="equal">
      <formula>$A$31</formula>
    </cfRule>
    <cfRule type="cellIs" dxfId="445" priority="3567" stopIfTrue="1" operator="equal">
      <formula>$A$31</formula>
    </cfRule>
    <cfRule type="cellIs" dxfId="444" priority="3568" stopIfTrue="1" operator="equal">
      <formula>$A$31</formula>
    </cfRule>
    <cfRule type="cellIs" dxfId="443" priority="3569" stopIfTrue="1" operator="equal">
      <formula>$A$31</formula>
    </cfRule>
    <cfRule type="cellIs" dxfId="442" priority="3570" stopIfTrue="1" operator="equal">
      <formula>$A$31</formula>
    </cfRule>
    <cfRule type="cellIs" dxfId="441" priority="3571" stopIfTrue="1" operator="equal">
      <formula>$A$31</formula>
    </cfRule>
    <cfRule type="cellIs" dxfId="440" priority="3572" stopIfTrue="1" operator="equal">
      <formula>$A$31</formula>
    </cfRule>
  </conditionalFormatting>
  <printOptions horizontalCentered="1" verticalCentered="1"/>
  <pageMargins left="0.74803149606299213" right="0.74803149606299213" top="0.98425196850393704" bottom="0.98425196850393704" header="0" footer="0"/>
  <pageSetup paperSize="9" scale="19" orientation="landscape" r:id="rId1"/>
  <headerFooter alignWithMargins="0">
    <oddFooter>&amp;CPágina &amp;P de &amp;N</oddFooter>
  </headerFooter>
  <colBreaks count="1" manualBreakCount="1">
    <brk id="28" min="4" max="59" man="1"/>
  </colBreak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pageSetUpPr fitToPage="1"/>
  </sheetPr>
  <dimension ref="A1:EZ27"/>
  <sheetViews>
    <sheetView zoomScale="80" zoomScaleNormal="80" workbookViewId="0">
      <pane xSplit="1" topLeftCell="BV1" activePane="topRight" state="frozen"/>
      <selection pane="topRight" activeCell="A29" sqref="A29"/>
    </sheetView>
  </sheetViews>
  <sheetFormatPr baseColWidth="10" defaultColWidth="11.42578125" defaultRowHeight="12.75"/>
  <cols>
    <col min="1" max="1" width="29.28515625" style="8" customWidth="1"/>
    <col min="2" max="2" width="5.7109375" style="8" customWidth="1"/>
    <col min="3" max="3" width="5.28515625" style="32" customWidth="1"/>
    <col min="4" max="4" width="4" style="8" customWidth="1"/>
    <col min="5" max="5" width="4.42578125" style="8" customWidth="1"/>
    <col min="6" max="6" width="4.7109375" style="8" customWidth="1"/>
    <col min="7" max="7" width="5.140625" style="32" customWidth="1"/>
    <col min="8" max="8" width="19.140625" style="8" customWidth="1"/>
    <col min="9" max="9" width="9.42578125" style="8" customWidth="1"/>
    <col min="10" max="10" width="8.85546875" style="8" customWidth="1"/>
    <col min="11" max="11" width="8.5703125" style="8" customWidth="1"/>
    <col min="12" max="12" width="10.85546875" style="8" customWidth="1"/>
    <col min="13" max="13" width="9.140625" style="8" customWidth="1"/>
    <col min="14" max="15" width="9" style="8" customWidth="1"/>
    <col min="16" max="16" width="9.85546875" style="8" customWidth="1"/>
    <col min="17" max="17" width="8.28515625" style="8" customWidth="1"/>
    <col min="18" max="19" width="9.28515625" style="8" customWidth="1"/>
    <col min="20" max="20" width="9" style="8" customWidth="1"/>
    <col min="21" max="21" width="8.28515625" style="8" customWidth="1"/>
    <col min="22" max="22" width="10.42578125" style="8" customWidth="1"/>
    <col min="23" max="23" width="9.140625" style="8" customWidth="1"/>
    <col min="24" max="24" width="6.5703125" style="8" customWidth="1"/>
    <col min="25" max="25" width="10.140625" style="8" customWidth="1"/>
    <col min="26" max="26" width="9.42578125" style="8" customWidth="1"/>
    <col min="27" max="27" width="9.140625" style="8" customWidth="1"/>
    <col min="28" max="28" width="9.42578125" style="8" customWidth="1"/>
    <col min="29" max="30" width="6.5703125" style="8" customWidth="1"/>
    <col min="31" max="31" width="6.28515625" style="8" customWidth="1"/>
    <col min="32" max="32" width="6.5703125" style="8" customWidth="1"/>
    <col min="33" max="33" width="9.42578125" style="8" customWidth="1"/>
    <col min="34" max="34" width="10" style="8" customWidth="1"/>
    <col min="35" max="35" width="9.7109375" style="8" customWidth="1"/>
    <col min="36" max="37" width="9.42578125" style="8" customWidth="1"/>
    <col min="38" max="38" width="9" style="8" customWidth="1"/>
    <col min="39" max="39" width="8.28515625" style="8" customWidth="1"/>
    <col min="40" max="40" width="9.42578125" style="8" customWidth="1"/>
    <col min="41" max="42" width="11.42578125" style="8" customWidth="1"/>
    <col min="43" max="44" width="12.7109375" style="8" customWidth="1"/>
    <col min="45" max="50" width="9.42578125" style="8" customWidth="1"/>
    <col min="51" max="51" width="12.7109375" style="8" customWidth="1"/>
    <col min="52" max="56" width="11.42578125" style="8" customWidth="1"/>
    <col min="57" max="57" width="12.28515625" style="8" customWidth="1"/>
    <col min="58" max="61" width="11.42578125" style="8" customWidth="1"/>
    <col min="62" max="62" width="9.42578125" style="8" customWidth="1"/>
    <col min="63" max="74" width="12.7109375" style="8" customWidth="1"/>
    <col min="75" max="75" width="15.42578125" style="8" customWidth="1"/>
    <col min="76" max="76" width="16" style="8" customWidth="1"/>
    <col min="77" max="91" width="11.42578125" style="8" customWidth="1"/>
    <col min="92" max="92" width="13" style="8" customWidth="1"/>
    <col min="93" max="93" width="12.5703125" style="8" customWidth="1"/>
    <col min="94" max="94" width="13.28515625" style="8" customWidth="1"/>
    <col min="95" max="96" width="13" style="8" customWidth="1"/>
    <col min="97" max="100" width="12" style="8" customWidth="1"/>
    <col min="101" max="105" width="11.42578125" style="8" customWidth="1"/>
    <col min="106" max="107" width="9.42578125" style="8" customWidth="1"/>
    <col min="108" max="111" width="11.42578125" style="8" customWidth="1"/>
    <col min="112" max="114" width="11.42578125" style="8"/>
    <col min="115" max="116" width="12" style="8" customWidth="1"/>
    <col min="117" max="144" width="11.42578125" style="8"/>
    <col min="145" max="145" width="11.42578125" style="8" customWidth="1"/>
    <col min="146" max="149" width="11.42578125" style="8"/>
    <col min="150" max="151" width="11.42578125" style="639"/>
    <col min="152" max="16384" width="11.42578125" style="8"/>
  </cols>
  <sheetData>
    <row r="1" spans="1:156" ht="13.5" thickBot="1">
      <c r="A1" s="8">
        <v>4</v>
      </c>
      <c r="DF1" s="30" t="s">
        <v>408</v>
      </c>
    </row>
    <row r="2" spans="1:156">
      <c r="A2">
        <f>Criterios!C8</f>
        <v>0</v>
      </c>
      <c r="B2">
        <f>Criterios!B8</f>
        <v>0</v>
      </c>
    </row>
    <row r="3" spans="1:156" ht="13.5" thickBot="1">
      <c r="A3" t="str">
        <f>Criterios!A9</f>
        <v>Tribunales de Justicia</v>
      </c>
      <c r="B3" t="str">
        <f>Criterios!B9</f>
        <v>CATALUÑA</v>
      </c>
    </row>
    <row r="4" spans="1:156" ht="13.5" thickBot="1">
      <c r="A4" t="str">
        <f>Criterios!A10</f>
        <v>Provincias</v>
      </c>
      <c r="B4" t="str">
        <f>Criterios!B10</f>
        <v>BARCELONA</v>
      </c>
      <c r="CE4" s="1393" t="s">
        <v>273</v>
      </c>
      <c r="CF4" s="1394"/>
      <c r="CG4" s="1394"/>
      <c r="CH4" s="1395"/>
    </row>
    <row r="5" spans="1:156" ht="12.75" customHeight="1" thickBot="1">
      <c r="A5" s="1426" t="str">
        <f>"Año:  " &amp;Criterios!B5 &amp; "                  Trimestre   " &amp;Criterios!D5 &amp; " al " &amp;Criterios!D6</f>
        <v>Año:  2025                  Trimestre   4 al 4</v>
      </c>
      <c r="B5" s="1428" t="s">
        <v>399</v>
      </c>
      <c r="C5" s="1431" t="s">
        <v>33</v>
      </c>
      <c r="D5" s="1437" t="s">
        <v>24</v>
      </c>
      <c r="E5" s="1438"/>
      <c r="F5" s="1438"/>
      <c r="G5" s="1438"/>
      <c r="H5" s="1439"/>
      <c r="I5" s="1443" t="s">
        <v>52</v>
      </c>
      <c r="J5" s="1444"/>
      <c r="K5" s="1444"/>
      <c r="L5" s="1444"/>
      <c r="M5" s="1444"/>
      <c r="N5" s="1444"/>
      <c r="O5" s="1444"/>
      <c r="P5" s="1444"/>
      <c r="Q5" s="1444"/>
      <c r="R5" s="1444"/>
      <c r="S5" s="1444"/>
      <c r="T5" s="1444"/>
      <c r="U5" s="1444"/>
      <c r="V5" s="1444"/>
      <c r="W5" s="1444"/>
      <c r="X5" s="1444"/>
      <c r="Y5" s="1444"/>
      <c r="Z5" s="1444"/>
      <c r="AA5" s="1444"/>
      <c r="AB5" s="1444"/>
      <c r="AC5" s="1444"/>
      <c r="AD5" s="1444"/>
      <c r="AE5" s="1444"/>
      <c r="AF5" s="1444"/>
      <c r="AG5" s="1444"/>
      <c r="AH5" s="1444"/>
      <c r="AI5" s="1444"/>
      <c r="AJ5" s="1444"/>
      <c r="AK5" s="1444"/>
      <c r="AL5" s="1444"/>
      <c r="AM5" s="1444"/>
      <c r="AN5" s="1444"/>
      <c r="AO5" s="1399" t="s">
        <v>131</v>
      </c>
      <c r="AP5" s="1399" t="s">
        <v>132</v>
      </c>
      <c r="AQ5" s="1399" t="s">
        <v>89</v>
      </c>
      <c r="AR5" s="1399" t="s">
        <v>133</v>
      </c>
      <c r="AS5" s="1411" t="s">
        <v>154</v>
      </c>
      <c r="AT5" s="1411" t="s">
        <v>155</v>
      </c>
      <c r="AU5" s="1411" t="s">
        <v>238</v>
      </c>
      <c r="AV5" s="1411" t="s">
        <v>236</v>
      </c>
      <c r="AW5" s="1411" t="s">
        <v>239</v>
      </c>
      <c r="AX5" s="1411" t="s">
        <v>237</v>
      </c>
      <c r="AY5" s="1405" t="s">
        <v>108</v>
      </c>
      <c r="AZ5" s="1465"/>
      <c r="BA5" s="1465"/>
      <c r="BB5" s="1465"/>
      <c r="BC5" s="1466"/>
      <c r="BD5" s="1405" t="s">
        <v>109</v>
      </c>
      <c r="BE5" s="1406"/>
      <c r="BF5" s="1406"/>
      <c r="BG5" s="1407"/>
      <c r="BH5" s="1399" t="s">
        <v>147</v>
      </c>
      <c r="BI5" s="1399" t="s">
        <v>148</v>
      </c>
      <c r="BJ5" s="1462" t="s">
        <v>211</v>
      </c>
      <c r="BK5" s="1416" t="s">
        <v>214</v>
      </c>
      <c r="BL5" s="1416" t="s">
        <v>221</v>
      </c>
      <c r="BM5" s="1459" t="s">
        <v>387</v>
      </c>
      <c r="BN5" s="1246"/>
      <c r="BO5" s="1247"/>
      <c r="BP5" s="1246"/>
      <c r="BQ5" s="1247"/>
      <c r="BR5" s="1246"/>
      <c r="BS5" s="1247"/>
      <c r="BT5" s="1246"/>
      <c r="BU5" s="1247"/>
      <c r="BV5" s="1413" t="s">
        <v>272</v>
      </c>
      <c r="BW5" s="1485" t="s">
        <v>252</v>
      </c>
      <c r="BX5" s="1485" t="s">
        <v>253</v>
      </c>
      <c r="BY5" s="1402" t="s">
        <v>259</v>
      </c>
      <c r="BZ5" s="1402" t="s">
        <v>349</v>
      </c>
      <c r="CA5" s="1422" t="s">
        <v>288</v>
      </c>
      <c r="CB5" s="1422" t="s">
        <v>279</v>
      </c>
      <c r="CC5" s="1422" t="s">
        <v>280</v>
      </c>
      <c r="CD5" s="1422" t="s">
        <v>281</v>
      </c>
      <c r="CE5" s="1396" t="s">
        <v>292</v>
      </c>
      <c r="CF5" s="1396" t="s">
        <v>271</v>
      </c>
      <c r="CG5" s="1396" t="s">
        <v>269</v>
      </c>
      <c r="CH5" s="1396" t="s">
        <v>270</v>
      </c>
      <c r="CI5" s="1476" t="s">
        <v>294</v>
      </c>
      <c r="CJ5" s="1476" t="s">
        <v>295</v>
      </c>
      <c r="CK5" s="1383" t="s">
        <v>456</v>
      </c>
      <c r="CL5" s="1383" t="s">
        <v>457</v>
      </c>
      <c r="CM5" s="1383" t="s">
        <v>458</v>
      </c>
      <c r="CN5" s="1423" t="s">
        <v>370</v>
      </c>
      <c r="CO5" s="1423" t="s">
        <v>363</v>
      </c>
      <c r="CP5" s="1423" t="s">
        <v>369</v>
      </c>
      <c r="CQ5" s="1456" t="s">
        <v>368</v>
      </c>
      <c r="CR5" s="1456" t="s">
        <v>42</v>
      </c>
      <c r="CS5" s="1396" t="s">
        <v>388</v>
      </c>
      <c r="CT5" s="1396" t="s">
        <v>391</v>
      </c>
      <c r="CU5" s="1396" t="s">
        <v>229</v>
      </c>
      <c r="CV5" s="1396" t="s">
        <v>313</v>
      </c>
      <c r="CW5" s="1396" t="s">
        <v>333</v>
      </c>
      <c r="CX5" s="1396" t="s">
        <v>340</v>
      </c>
      <c r="CY5" s="1396" t="s">
        <v>436</v>
      </c>
      <c r="CZ5" s="1396" t="s">
        <v>437</v>
      </c>
      <c r="DA5" s="1396" t="s">
        <v>438</v>
      </c>
      <c r="DB5" s="1371" t="s">
        <v>195</v>
      </c>
      <c r="DC5" s="1371" t="s">
        <v>196</v>
      </c>
      <c r="DD5" s="1371" t="s">
        <v>197</v>
      </c>
      <c r="DE5" s="1387" t="s">
        <v>168</v>
      </c>
      <c r="DF5" s="1387" t="s">
        <v>407</v>
      </c>
      <c r="DG5" s="1396" t="s">
        <v>444</v>
      </c>
      <c r="DH5" s="1383" t="s">
        <v>425</v>
      </c>
      <c r="DI5" s="1383" t="s">
        <v>426</v>
      </c>
      <c r="DJ5" s="1383" t="s">
        <v>442</v>
      </c>
      <c r="DK5" s="1383" t="s">
        <v>476</v>
      </c>
      <c r="DL5" s="1383" t="s">
        <v>479</v>
      </c>
      <c r="DM5" s="1386" t="s">
        <v>525</v>
      </c>
      <c r="DN5" s="1386" t="s">
        <v>526</v>
      </c>
      <c r="DO5" s="1386" t="s">
        <v>527</v>
      </c>
      <c r="DP5" s="1386" t="s">
        <v>528</v>
      </c>
      <c r="DQ5" s="1386" t="s">
        <v>529</v>
      </c>
      <c r="DR5" s="1386" t="s">
        <v>530</v>
      </c>
      <c r="DS5" s="1386" t="s">
        <v>531</v>
      </c>
      <c r="DT5" s="1386" t="s">
        <v>532</v>
      </c>
      <c r="DU5" s="1365" t="s">
        <v>533</v>
      </c>
      <c r="DV5" s="1365" t="s">
        <v>534</v>
      </c>
      <c r="DW5" s="1362" t="s">
        <v>535</v>
      </c>
      <c r="DX5" s="1386" t="s">
        <v>536</v>
      </c>
      <c r="DY5" s="1359" t="s">
        <v>537</v>
      </c>
      <c r="DZ5" s="1362" t="s">
        <v>538</v>
      </c>
      <c r="EA5" s="1359" t="s">
        <v>539</v>
      </c>
      <c r="EB5" s="1390" t="s">
        <v>583</v>
      </c>
      <c r="EC5" s="1390" t="s">
        <v>615</v>
      </c>
      <c r="ED5" s="1390" t="s">
        <v>585</v>
      </c>
      <c r="EE5" s="1390" t="s">
        <v>618</v>
      </c>
      <c r="EF5" s="1390" t="s">
        <v>619</v>
      </c>
      <c r="EG5" s="1359" t="s">
        <v>620</v>
      </c>
      <c r="EH5" s="1359" t="s">
        <v>621</v>
      </c>
      <c r="EI5" s="1359" t="s">
        <v>587</v>
      </c>
      <c r="EJ5" s="1359" t="s">
        <v>588</v>
      </c>
      <c r="EK5" s="1488" t="s">
        <v>665</v>
      </c>
      <c r="EL5" s="1377" t="s">
        <v>681</v>
      </c>
      <c r="EM5" s="1378"/>
      <c r="EN5" s="1379"/>
      <c r="EO5" s="1371" t="s">
        <v>737</v>
      </c>
      <c r="EP5" s="1371" t="s">
        <v>739</v>
      </c>
      <c r="EQ5" s="1371" t="s">
        <v>740</v>
      </c>
      <c r="ER5" s="1371" t="s">
        <v>745</v>
      </c>
      <c r="ES5" s="1371" t="s">
        <v>750</v>
      </c>
      <c r="ET5" s="1368" t="s">
        <v>810</v>
      </c>
      <c r="EU5" s="1368" t="s">
        <v>811</v>
      </c>
      <c r="EV5" s="1396" t="s">
        <v>827</v>
      </c>
      <c r="EW5" s="1359" t="s">
        <v>830</v>
      </c>
      <c r="EX5" s="1479" t="s">
        <v>844</v>
      </c>
      <c r="EY5" s="1473" t="s">
        <v>849</v>
      </c>
      <c r="EZ5" s="1470" t="s">
        <v>891</v>
      </c>
    </row>
    <row r="6" spans="1:156" ht="24.75" customHeight="1" thickBot="1">
      <c r="A6" s="1427"/>
      <c r="B6" s="1429"/>
      <c r="C6" s="1432"/>
      <c r="D6" s="1440"/>
      <c r="E6" s="1441"/>
      <c r="F6" s="1441"/>
      <c r="G6" s="1441"/>
      <c r="H6" s="1442"/>
      <c r="I6" s="1445" t="s">
        <v>5</v>
      </c>
      <c r="J6" s="1446"/>
      <c r="K6" s="1446"/>
      <c r="L6" s="1446"/>
      <c r="M6" s="1446"/>
      <c r="N6" s="1446"/>
      <c r="O6" s="1447"/>
      <c r="P6" s="1434" t="s">
        <v>15</v>
      </c>
      <c r="Q6" s="1435"/>
      <c r="R6" s="1436"/>
      <c r="S6" s="1445" t="s">
        <v>107</v>
      </c>
      <c r="T6" s="1446"/>
      <c r="U6" s="1446"/>
      <c r="V6" s="1446"/>
      <c r="W6" s="1448"/>
      <c r="X6" s="1449"/>
      <c r="Y6" s="1450" t="s">
        <v>30</v>
      </c>
      <c r="Z6" s="1451"/>
      <c r="AA6" s="1451"/>
      <c r="AB6" s="1452"/>
      <c r="AC6" s="1450" t="s">
        <v>31</v>
      </c>
      <c r="AD6" s="1451"/>
      <c r="AE6" s="1451"/>
      <c r="AF6" s="1455"/>
      <c r="AG6" s="1434" t="s">
        <v>53</v>
      </c>
      <c r="AH6" s="1435"/>
      <c r="AI6" s="1435"/>
      <c r="AJ6" s="1436"/>
      <c r="AK6" s="1453" t="s">
        <v>54</v>
      </c>
      <c r="AL6" s="1435"/>
      <c r="AM6" s="1435"/>
      <c r="AN6" s="1454"/>
      <c r="AO6" s="1400"/>
      <c r="AP6" s="1400"/>
      <c r="AQ6" s="1400"/>
      <c r="AR6" s="1400"/>
      <c r="AS6" s="1372"/>
      <c r="AT6" s="1372"/>
      <c r="AU6" s="1372"/>
      <c r="AV6" s="1372"/>
      <c r="AW6" s="1372"/>
      <c r="AX6" s="1372"/>
      <c r="AY6" s="1467"/>
      <c r="AZ6" s="1468"/>
      <c r="BA6" s="1468"/>
      <c r="BB6" s="1468"/>
      <c r="BC6" s="1469"/>
      <c r="BD6" s="1408"/>
      <c r="BE6" s="1409"/>
      <c r="BF6" s="1409"/>
      <c r="BG6" s="1410"/>
      <c r="BH6" s="1400"/>
      <c r="BI6" s="1400"/>
      <c r="BJ6" s="1463"/>
      <c r="BK6" s="1417"/>
      <c r="BL6" s="1417"/>
      <c r="BM6" s="1460"/>
      <c r="BN6" s="1244"/>
      <c r="BO6" s="1244"/>
      <c r="BP6" s="1244"/>
      <c r="BQ6" s="1244"/>
      <c r="BR6" s="1244"/>
      <c r="BS6" s="1244"/>
      <c r="BT6" s="1244"/>
      <c r="BU6" s="1244"/>
      <c r="BV6" s="1414"/>
      <c r="BW6" s="1486"/>
      <c r="BX6" s="1486"/>
      <c r="BY6" s="1403"/>
      <c r="BZ6" s="1403"/>
      <c r="CA6" s="1397"/>
      <c r="CB6" s="1397"/>
      <c r="CC6" s="1397"/>
      <c r="CD6" s="1397"/>
      <c r="CE6" s="1397"/>
      <c r="CF6" s="1397"/>
      <c r="CG6" s="1397"/>
      <c r="CH6" s="1397"/>
      <c r="CI6" s="1477"/>
      <c r="CJ6" s="1477"/>
      <c r="CK6" s="1384"/>
      <c r="CL6" s="1384"/>
      <c r="CM6" s="1384"/>
      <c r="CN6" s="1424"/>
      <c r="CO6" s="1424"/>
      <c r="CP6" s="1424"/>
      <c r="CQ6" s="1457"/>
      <c r="CR6" s="1457"/>
      <c r="CS6" s="1397"/>
      <c r="CT6" s="1397"/>
      <c r="CU6" s="1397"/>
      <c r="CV6" s="1397"/>
      <c r="CW6" s="1397"/>
      <c r="CX6" s="1397"/>
      <c r="CY6" s="1397"/>
      <c r="CZ6" s="1397"/>
      <c r="DA6" s="1397"/>
      <c r="DB6" s="1372"/>
      <c r="DC6" s="1372"/>
      <c r="DD6" s="1372"/>
      <c r="DE6" s="1388"/>
      <c r="DF6" s="1388"/>
      <c r="DG6" s="1397"/>
      <c r="DH6" s="1384"/>
      <c r="DI6" s="1384"/>
      <c r="DJ6" s="1384"/>
      <c r="DK6" s="1384"/>
      <c r="DL6" s="1384"/>
      <c r="DM6" s="1293"/>
      <c r="DN6" s="1293"/>
      <c r="DO6" s="1293"/>
      <c r="DP6" s="1293"/>
      <c r="DQ6" s="1293"/>
      <c r="DR6" s="1293"/>
      <c r="DS6" s="1293"/>
      <c r="DT6" s="1293"/>
      <c r="DU6" s="1366"/>
      <c r="DV6" s="1366"/>
      <c r="DW6" s="1363"/>
      <c r="DX6" s="1293"/>
      <c r="DY6" s="1360"/>
      <c r="DZ6" s="1363"/>
      <c r="EA6" s="1360"/>
      <c r="EB6" s="1391"/>
      <c r="EC6" s="1391"/>
      <c r="ED6" s="1391"/>
      <c r="EE6" s="1391"/>
      <c r="EF6" s="1391"/>
      <c r="EG6" s="1360"/>
      <c r="EH6" s="1360"/>
      <c r="EI6" s="1360"/>
      <c r="EJ6" s="1360"/>
      <c r="EK6" s="1489"/>
      <c r="EL6" s="1380"/>
      <c r="EM6" s="1381"/>
      <c r="EN6" s="1382"/>
      <c r="EO6" s="1372"/>
      <c r="EP6" s="1372"/>
      <c r="EQ6" s="1372"/>
      <c r="ER6" s="1372"/>
      <c r="ES6" s="1372"/>
      <c r="ET6" s="1369"/>
      <c r="EU6" s="1369"/>
      <c r="EV6" s="1397"/>
      <c r="EW6" s="1360"/>
      <c r="EX6" s="1480"/>
      <c r="EY6" s="1474"/>
      <c r="EZ6" s="1471"/>
    </row>
    <row r="7" spans="1:156" ht="87" customHeight="1" thickBot="1">
      <c r="A7" s="69" t="s">
        <v>736</v>
      </c>
      <c r="B7" s="1430"/>
      <c r="C7" s="1433"/>
      <c r="D7" s="66" t="s">
        <v>400</v>
      </c>
      <c r="E7" s="67" t="s">
        <v>126</v>
      </c>
      <c r="F7" s="67" t="s">
        <v>125</v>
      </c>
      <c r="G7" s="121" t="s">
        <v>35</v>
      </c>
      <c r="H7" s="122" t="s">
        <v>401</v>
      </c>
      <c r="I7" s="9" t="s">
        <v>375</v>
      </c>
      <c r="J7" s="10" t="s">
        <v>13</v>
      </c>
      <c r="K7" s="10" t="s">
        <v>9</v>
      </c>
      <c r="L7" s="11" t="s">
        <v>19</v>
      </c>
      <c r="M7" s="9" t="s">
        <v>7</v>
      </c>
      <c r="N7" s="10" t="s">
        <v>8</v>
      </c>
      <c r="O7" s="158" t="s">
        <v>223</v>
      </c>
      <c r="P7" s="9" t="s">
        <v>10</v>
      </c>
      <c r="Q7" s="10" t="s">
        <v>16</v>
      </c>
      <c r="R7" s="12" t="s">
        <v>17</v>
      </c>
      <c r="S7" s="9" t="s">
        <v>18</v>
      </c>
      <c r="T7" s="56" t="s">
        <v>13</v>
      </c>
      <c r="U7" s="10" t="s">
        <v>9</v>
      </c>
      <c r="V7" s="11" t="s">
        <v>23</v>
      </c>
      <c r="W7" s="53" t="s">
        <v>7</v>
      </c>
      <c r="X7" s="55" t="s">
        <v>8</v>
      </c>
      <c r="Y7" s="53" t="s">
        <v>18</v>
      </c>
      <c r="Z7" s="54" t="s">
        <v>13</v>
      </c>
      <c r="AA7" s="54" t="s">
        <v>9</v>
      </c>
      <c r="AB7" s="55" t="s">
        <v>19</v>
      </c>
      <c r="AC7" s="53" t="s">
        <v>18</v>
      </c>
      <c r="AD7" s="54" t="s">
        <v>13</v>
      </c>
      <c r="AE7" s="54" t="s">
        <v>9</v>
      </c>
      <c r="AF7" s="96" t="s">
        <v>19</v>
      </c>
      <c r="AG7" s="9" t="s">
        <v>18</v>
      </c>
      <c r="AH7" s="10" t="s">
        <v>13</v>
      </c>
      <c r="AI7" s="10" t="s">
        <v>9</v>
      </c>
      <c r="AJ7" s="12" t="s">
        <v>19</v>
      </c>
      <c r="AK7" s="56" t="s">
        <v>18</v>
      </c>
      <c r="AL7" s="10" t="s">
        <v>13</v>
      </c>
      <c r="AM7" s="10" t="s">
        <v>9</v>
      </c>
      <c r="AN7" s="11" t="s">
        <v>19</v>
      </c>
      <c r="AO7" s="1401"/>
      <c r="AP7" s="1401"/>
      <c r="AQ7" s="1401"/>
      <c r="AR7" s="1401"/>
      <c r="AS7" s="1373"/>
      <c r="AT7" s="1412"/>
      <c r="AU7" s="1412"/>
      <c r="AV7" s="1412"/>
      <c r="AW7" s="1412"/>
      <c r="AX7" s="1412"/>
      <c r="AY7" s="97" t="s">
        <v>18</v>
      </c>
      <c r="AZ7" s="98" t="s">
        <v>13</v>
      </c>
      <c r="BA7" s="98" t="s">
        <v>9</v>
      </c>
      <c r="BB7" s="98" t="s">
        <v>23</v>
      </c>
      <c r="BC7" s="99" t="s">
        <v>7</v>
      </c>
      <c r="BD7" s="97" t="s">
        <v>9</v>
      </c>
      <c r="BE7" s="98" t="s">
        <v>17</v>
      </c>
      <c r="BF7" s="98" t="s">
        <v>97</v>
      </c>
      <c r="BG7" s="99" t="s">
        <v>98</v>
      </c>
      <c r="BH7" s="1401"/>
      <c r="BI7" s="1401"/>
      <c r="BJ7" s="1464"/>
      <c r="BK7" s="1418"/>
      <c r="BL7" s="1418"/>
      <c r="BM7" s="1461"/>
      <c r="BN7" s="1245"/>
      <c r="BO7" s="1245"/>
      <c r="BP7" s="1245"/>
      <c r="BQ7" s="1245"/>
      <c r="BR7" s="1245"/>
      <c r="BS7" s="1245"/>
      <c r="BT7" s="1245"/>
      <c r="BU7" s="1245"/>
      <c r="BV7" s="1415"/>
      <c r="BW7" s="1487"/>
      <c r="BX7" s="1487"/>
      <c r="BY7" s="1404"/>
      <c r="BZ7" s="1404"/>
      <c r="CA7" s="1398"/>
      <c r="CB7" s="1398"/>
      <c r="CC7" s="1398"/>
      <c r="CD7" s="1398"/>
      <c r="CE7" s="1398"/>
      <c r="CF7" s="1398"/>
      <c r="CG7" s="1398"/>
      <c r="CH7" s="1398"/>
      <c r="CI7" s="1478"/>
      <c r="CJ7" s="1478"/>
      <c r="CK7" s="1385"/>
      <c r="CL7" s="1385"/>
      <c r="CM7" s="1385"/>
      <c r="CN7" s="1425"/>
      <c r="CO7" s="1425"/>
      <c r="CP7" s="1425"/>
      <c r="CQ7" s="1458"/>
      <c r="CR7" s="1458"/>
      <c r="CS7" s="1398"/>
      <c r="CT7" s="1398"/>
      <c r="CU7" s="1398"/>
      <c r="CV7" s="1398"/>
      <c r="CW7" s="1398"/>
      <c r="CX7" s="1398"/>
      <c r="CY7" s="1398"/>
      <c r="CZ7" s="1398"/>
      <c r="DA7" s="1398"/>
      <c r="DB7" s="1373"/>
      <c r="DC7" s="1373"/>
      <c r="DD7" s="1373"/>
      <c r="DE7" s="1389"/>
      <c r="DF7" s="1389"/>
      <c r="DG7" s="1398"/>
      <c r="DH7" s="1385"/>
      <c r="DI7" s="1385"/>
      <c r="DJ7" s="1385"/>
      <c r="DK7" s="1385"/>
      <c r="DL7" s="1385"/>
      <c r="DM7" s="1294"/>
      <c r="DN7" s="1294"/>
      <c r="DO7" s="1294"/>
      <c r="DP7" s="1294"/>
      <c r="DQ7" s="1294"/>
      <c r="DR7" s="1294"/>
      <c r="DS7" s="1294"/>
      <c r="DT7" s="1294"/>
      <c r="DU7" s="1367"/>
      <c r="DV7" s="1367"/>
      <c r="DW7" s="1364"/>
      <c r="DX7" s="1294"/>
      <c r="DY7" s="1361"/>
      <c r="DZ7" s="1364"/>
      <c r="EA7" s="1361"/>
      <c r="EB7" s="1392"/>
      <c r="EC7" s="1392"/>
      <c r="ED7" s="1392"/>
      <c r="EE7" s="1392"/>
      <c r="EF7" s="1392"/>
      <c r="EG7" s="1361"/>
      <c r="EH7" s="1361"/>
      <c r="EI7" s="1361"/>
      <c r="EJ7" s="1361"/>
      <c r="EK7" s="1490"/>
      <c r="EL7" s="638" t="s">
        <v>682</v>
      </c>
      <c r="EM7" s="638" t="s">
        <v>95</v>
      </c>
      <c r="EN7" s="638" t="s">
        <v>96</v>
      </c>
      <c r="EO7" s="1373"/>
      <c r="EP7" s="1373"/>
      <c r="EQ7" s="1373"/>
      <c r="ER7" s="1373"/>
      <c r="ES7" s="1373"/>
      <c r="ET7" s="1370"/>
      <c r="EU7" s="1370"/>
      <c r="EV7" s="1398"/>
      <c r="EW7" s="1361"/>
      <c r="EX7" s="1481"/>
      <c r="EY7" s="1475"/>
      <c r="EZ7" s="1472"/>
    </row>
    <row r="8" spans="1:156" ht="14.25" customHeight="1" thickBot="1">
      <c r="A8" s="70" t="s">
        <v>102</v>
      </c>
      <c r="B8" s="137" t="s">
        <v>402</v>
      </c>
      <c r="C8" s="138" t="s">
        <v>2</v>
      </c>
      <c r="D8" s="13"/>
      <c r="E8" s="14"/>
      <c r="F8" s="14"/>
      <c r="G8" s="15"/>
      <c r="H8" s="16"/>
      <c r="I8" s="50" t="s">
        <v>56</v>
      </c>
      <c r="J8" s="50" t="s">
        <v>47</v>
      </c>
      <c r="K8" s="50" t="s">
        <v>57</v>
      </c>
      <c r="L8" s="50" t="s">
        <v>58</v>
      </c>
      <c r="M8" s="50" t="s">
        <v>59</v>
      </c>
      <c r="N8" s="50" t="s">
        <v>60</v>
      </c>
      <c r="O8" s="50" t="s">
        <v>61</v>
      </c>
      <c r="P8" s="50" t="s">
        <v>62</v>
      </c>
      <c r="Q8" s="50" t="s">
        <v>63</v>
      </c>
      <c r="R8" s="50" t="s">
        <v>64</v>
      </c>
      <c r="S8" s="50" t="s">
        <v>65</v>
      </c>
      <c r="T8" s="50" t="s">
        <v>66</v>
      </c>
      <c r="U8" s="50" t="s">
        <v>67</v>
      </c>
      <c r="V8" s="50" t="s">
        <v>68</v>
      </c>
      <c r="W8" s="50" t="s">
        <v>69</v>
      </c>
      <c r="X8" s="50" t="s">
        <v>70</v>
      </c>
      <c r="Y8" s="50" t="s">
        <v>71</v>
      </c>
      <c r="Z8" s="50" t="s">
        <v>72</v>
      </c>
      <c r="AA8" s="50" t="s">
        <v>73</v>
      </c>
      <c r="AB8" s="50" t="s">
        <v>74</v>
      </c>
      <c r="AC8" s="50" t="s">
        <v>75</v>
      </c>
      <c r="AD8" s="50" t="s">
        <v>76</v>
      </c>
      <c r="AE8" s="50" t="s">
        <v>77</v>
      </c>
      <c r="AF8" s="50" t="s">
        <v>78</v>
      </c>
      <c r="AG8" s="50" t="s">
        <v>79</v>
      </c>
      <c r="AH8" s="50" t="s">
        <v>46</v>
      </c>
      <c r="AI8" s="50" t="s">
        <v>80</v>
      </c>
      <c r="AJ8" s="50" t="s">
        <v>81</v>
      </c>
      <c r="AK8" s="50" t="s">
        <v>82</v>
      </c>
      <c r="AL8" s="50" t="s">
        <v>83</v>
      </c>
      <c r="AM8" s="50" t="s">
        <v>84</v>
      </c>
      <c r="AN8" s="50" t="s">
        <v>158</v>
      </c>
      <c r="AO8" s="50" t="s">
        <v>85</v>
      </c>
      <c r="AP8" s="50" t="s">
        <v>88</v>
      </c>
      <c r="AQ8" s="50" t="s">
        <v>103</v>
      </c>
      <c r="AR8" s="50" t="s">
        <v>104</v>
      </c>
      <c r="AS8" s="50" t="s">
        <v>105</v>
      </c>
      <c r="AT8" s="50" t="s">
        <v>106</v>
      </c>
      <c r="AU8" s="50" t="s">
        <v>110</v>
      </c>
      <c r="AV8" s="50" t="s">
        <v>111</v>
      </c>
      <c r="AW8" s="50" t="s">
        <v>112</v>
      </c>
      <c r="AX8" s="50" t="s">
        <v>113</v>
      </c>
      <c r="AY8" s="50" t="s">
        <v>114</v>
      </c>
      <c r="AZ8" s="50" t="s">
        <v>130</v>
      </c>
      <c r="BA8" s="50" t="s">
        <v>138</v>
      </c>
      <c r="BB8" s="50" t="s">
        <v>149</v>
      </c>
      <c r="BC8" s="50" t="s">
        <v>217</v>
      </c>
      <c r="BD8" s="50" t="s">
        <v>153</v>
      </c>
      <c r="BE8" s="50" t="s">
        <v>156</v>
      </c>
      <c r="BF8" s="50" t="s">
        <v>157</v>
      </c>
      <c r="BG8" s="50" t="s">
        <v>212</v>
      </c>
      <c r="BH8" s="50" t="s">
        <v>213</v>
      </c>
      <c r="BI8" s="50" t="s">
        <v>220</v>
      </c>
      <c r="BJ8" s="50" t="s">
        <v>231</v>
      </c>
      <c r="BK8" s="50" t="s">
        <v>234</v>
      </c>
      <c r="BL8" s="50" t="s">
        <v>235</v>
      </c>
      <c r="BM8" s="50"/>
      <c r="BN8" s="50"/>
      <c r="BO8" s="50"/>
      <c r="BP8" s="50"/>
      <c r="BQ8" s="50"/>
      <c r="BR8" s="50"/>
      <c r="BS8" s="50"/>
      <c r="BT8" s="50"/>
      <c r="BU8" s="50"/>
      <c r="BV8" s="50" t="s">
        <v>283</v>
      </c>
      <c r="BW8" s="50" t="s">
        <v>284</v>
      </c>
      <c r="BX8" s="50" t="s">
        <v>289</v>
      </c>
      <c r="BY8" s="50" t="s">
        <v>291</v>
      </c>
      <c r="BZ8" s="50" t="s">
        <v>296</v>
      </c>
      <c r="CA8" s="50" t="s">
        <v>297</v>
      </c>
      <c r="CB8" s="50" t="s">
        <v>350</v>
      </c>
      <c r="CC8" s="50" t="s">
        <v>352</v>
      </c>
      <c r="CD8" s="50" t="s">
        <v>354</v>
      </c>
      <c r="CE8" s="50" t="s">
        <v>364</v>
      </c>
      <c r="CF8" s="50" t="s">
        <v>365</v>
      </c>
      <c r="CG8" s="50" t="s">
        <v>366</v>
      </c>
      <c r="CH8" s="50" t="s">
        <v>367</v>
      </c>
      <c r="CI8" s="50" t="s">
        <v>390</v>
      </c>
      <c r="CJ8" s="50" t="s">
        <v>392</v>
      </c>
      <c r="CK8" s="50" t="s">
        <v>230</v>
      </c>
      <c r="CL8" s="50" t="s">
        <v>316</v>
      </c>
      <c r="CM8" s="50" t="s">
        <v>319</v>
      </c>
      <c r="CN8" s="50"/>
      <c r="CO8" s="50"/>
      <c r="CP8" s="50"/>
      <c r="CQ8" s="50" t="s">
        <v>345</v>
      </c>
      <c r="CR8" s="50" t="s">
        <v>346</v>
      </c>
      <c r="CS8" s="50" t="s">
        <v>167</v>
      </c>
      <c r="CT8" s="50" t="s">
        <v>186</v>
      </c>
      <c r="CU8" s="50" t="s">
        <v>187</v>
      </c>
      <c r="CV8" s="50" t="s">
        <v>188</v>
      </c>
      <c r="CW8" s="50" t="s">
        <v>189</v>
      </c>
      <c r="CX8" s="50" t="s">
        <v>190</v>
      </c>
      <c r="CY8" s="50" t="s">
        <v>191</v>
      </c>
      <c r="CZ8" s="50" t="s">
        <v>192</v>
      </c>
      <c r="DA8" s="50" t="s">
        <v>193</v>
      </c>
      <c r="DB8" s="50" t="s">
        <v>194</v>
      </c>
      <c r="DC8" s="50" t="s">
        <v>198</v>
      </c>
      <c r="DD8" s="50" t="s">
        <v>199</v>
      </c>
      <c r="DE8" s="50" t="s">
        <v>408</v>
      </c>
      <c r="DF8" s="50" t="s">
        <v>43</v>
      </c>
      <c r="DG8" s="50">
        <v>111</v>
      </c>
      <c r="DH8" s="50" t="s">
        <v>453</v>
      </c>
      <c r="DI8" s="50" t="s">
        <v>454</v>
      </c>
      <c r="DJ8" s="469" t="s">
        <v>455</v>
      </c>
      <c r="DK8" s="469" t="s">
        <v>477</v>
      </c>
      <c r="DL8" s="469" t="s">
        <v>478</v>
      </c>
      <c r="DM8" s="469" t="s">
        <v>540</v>
      </c>
      <c r="DN8" s="469" t="s">
        <v>541</v>
      </c>
      <c r="DO8" s="469" t="s">
        <v>542</v>
      </c>
      <c r="DP8" s="469" t="s">
        <v>543</v>
      </c>
      <c r="DQ8" s="469" t="s">
        <v>544</v>
      </c>
      <c r="DR8" s="469" t="s">
        <v>545</v>
      </c>
      <c r="DS8" s="469" t="s">
        <v>546</v>
      </c>
      <c r="DT8" s="469" t="s">
        <v>547</v>
      </c>
      <c r="DU8" s="469" t="s">
        <v>548</v>
      </c>
      <c r="DV8" s="469" t="s">
        <v>549</v>
      </c>
      <c r="DW8" s="469" t="s">
        <v>550</v>
      </c>
      <c r="DX8" s="469" t="s">
        <v>551</v>
      </c>
      <c r="DY8" s="469" t="s">
        <v>552</v>
      </c>
      <c r="DZ8" s="469" t="s">
        <v>553</v>
      </c>
      <c r="EA8" s="469" t="s">
        <v>554</v>
      </c>
      <c r="EB8" s="469" t="s">
        <v>595</v>
      </c>
      <c r="EC8" s="469" t="s">
        <v>596</v>
      </c>
      <c r="ED8" s="469" t="s">
        <v>597</v>
      </c>
      <c r="EE8" s="469" t="s">
        <v>598</v>
      </c>
      <c r="EF8" s="469" t="s">
        <v>599</v>
      </c>
      <c r="EG8" s="469" t="s">
        <v>600</v>
      </c>
      <c r="EH8" s="469" t="s">
        <v>601</v>
      </c>
      <c r="EI8" s="469" t="s">
        <v>602</v>
      </c>
      <c r="EJ8" s="469" t="s">
        <v>603</v>
      </c>
      <c r="EK8" s="469" t="s">
        <v>666</v>
      </c>
      <c r="EL8" s="469" t="s">
        <v>683</v>
      </c>
      <c r="EM8" s="469" t="s">
        <v>684</v>
      </c>
      <c r="EN8" s="469" t="s">
        <v>685</v>
      </c>
      <c r="EO8" s="50" t="s">
        <v>738</v>
      </c>
      <c r="EP8" s="50" t="s">
        <v>743</v>
      </c>
      <c r="EQ8" s="50" t="s">
        <v>744</v>
      </c>
      <c r="ER8" s="469">
        <v>148</v>
      </c>
      <c r="ES8" s="469" t="s">
        <v>751</v>
      </c>
      <c r="ET8" s="1140" t="s">
        <v>812</v>
      </c>
      <c r="EU8" s="1140" t="s">
        <v>813</v>
      </c>
      <c r="EV8" s="1140" t="s">
        <v>821</v>
      </c>
      <c r="EW8" s="469" t="s">
        <v>829</v>
      </c>
      <c r="EX8" s="469" t="s">
        <v>843</v>
      </c>
      <c r="EY8" s="469" t="s">
        <v>848</v>
      </c>
      <c r="EZ8" s="469" t="s">
        <v>892</v>
      </c>
    </row>
    <row r="9" spans="1:156" ht="14.25" customHeight="1">
      <c r="A9" s="20" t="s">
        <v>45</v>
      </c>
      <c r="B9" s="21" t="s">
        <v>402</v>
      </c>
      <c r="C9" s="22" t="s">
        <v>3</v>
      </c>
      <c r="D9" s="23" t="s">
        <v>20</v>
      </c>
      <c r="E9" s="21" t="s">
        <v>21</v>
      </c>
      <c r="F9" s="21">
        <v>32</v>
      </c>
      <c r="G9" s="6"/>
      <c r="H9" s="136" t="s">
        <v>245</v>
      </c>
      <c r="I9" s="1178" t="s">
        <v>875</v>
      </c>
      <c r="J9" s="1177" t="s">
        <v>876</v>
      </c>
      <c r="K9" s="1177" t="s">
        <v>877</v>
      </c>
      <c r="L9" s="1177" t="s">
        <v>878</v>
      </c>
      <c r="M9" s="57" t="s">
        <v>847</v>
      </c>
      <c r="N9" s="57" t="s">
        <v>850</v>
      </c>
      <c r="O9" s="57" t="s">
        <v>323</v>
      </c>
      <c r="P9" s="57" t="s">
        <v>371</v>
      </c>
      <c r="Q9" s="57" t="s">
        <v>372</v>
      </c>
      <c r="R9" s="57" t="s">
        <v>373</v>
      </c>
      <c r="S9" s="57"/>
      <c r="T9" s="57"/>
      <c r="U9" s="57"/>
      <c r="V9" s="57"/>
      <c r="W9" s="57"/>
      <c r="X9" s="61"/>
      <c r="Y9" s="1181" t="s">
        <v>872</v>
      </c>
      <c r="Z9" s="1177" t="s">
        <v>871</v>
      </c>
      <c r="AA9" s="1177" t="s">
        <v>873</v>
      </c>
      <c r="AB9" s="1177" t="s">
        <v>874</v>
      </c>
      <c r="AC9" s="57"/>
      <c r="AD9" s="57"/>
      <c r="AE9" s="57"/>
      <c r="AF9" s="61"/>
      <c r="AG9" s="62"/>
      <c r="AH9" s="57"/>
      <c r="AI9" s="57"/>
      <c r="AJ9" s="63"/>
      <c r="AK9" s="58"/>
      <c r="AL9" s="57"/>
      <c r="AM9" s="57"/>
      <c r="AN9" s="61"/>
      <c r="AO9" s="64"/>
      <c r="AP9" s="64"/>
      <c r="AQ9" s="64"/>
      <c r="AR9" s="60"/>
      <c r="AS9" s="316" t="s">
        <v>855</v>
      </c>
      <c r="AT9" s="194"/>
      <c r="AU9" s="316" t="s">
        <v>800</v>
      </c>
      <c r="AV9" s="194"/>
      <c r="AW9" s="316" t="s">
        <v>803</v>
      </c>
      <c r="AX9" s="194"/>
      <c r="AY9" s="123">
        <f>IF(ISNUMBER(IF(Criterios!B13="SI",S9,S9+AG9)),IF(Criterios!B13="SI",S9,S9+AG9)," - ")</f>
        <v>0</v>
      </c>
      <c r="AZ9" s="124"/>
      <c r="BA9" s="124">
        <f>IF(ISNUMBER(IF(Criterios!B13="SI",U9,U9+AI9)),IF(Criterios!B13="SI",U9,U9+AI9)," - ")</f>
        <v>0</v>
      </c>
      <c r="BB9" s="124">
        <f>IF(ISNUMBER(IF(Criterios!B13="SI",V9,V9+AJ9)),IF(Criterios!B13="SI",V9,V9+AJ9)," - ")</f>
        <v>0</v>
      </c>
      <c r="BC9" s="125" t="str">
        <f>IF(ISNUMBER(X9),X9," - ")</f>
        <v xml:space="preserve"> - </v>
      </c>
      <c r="BD9" s="100" t="str">
        <f t="shared" ref="BD9:BD12" si="0">IF(ISNUMBER(BA9/AZ9),BA9/AZ9," - ")</f>
        <v xml:space="preserve"> - </v>
      </c>
      <c r="BE9" s="101" t="str">
        <f t="shared" ref="BE9:BE12" si="1">IF(ISNUMBER(BB9/BA9),BB9/BA9, " - ")</f>
        <v xml:space="preserve"> - </v>
      </c>
      <c r="BF9" s="101" t="str">
        <f t="shared" ref="BF9:BF12" si="2">IF(ISNUMBER(BC9/BA9),BC9/BA9, " - ")</f>
        <v xml:space="preserve"> - </v>
      </c>
      <c r="BG9" s="102" t="str">
        <f t="shared" ref="BG9:BG12" si="3">IF(ISNUMBER((AY9+AZ9)/BA9),(AY9+AZ9)/BA9," - ")</f>
        <v xml:space="preserve"> - </v>
      </c>
      <c r="BH9" s="64"/>
      <c r="BI9" s="64"/>
      <c r="BJ9" s="48"/>
      <c r="BK9" s="64"/>
      <c r="BL9" s="64"/>
      <c r="BM9" s="155">
        <v>720</v>
      </c>
      <c r="BN9" s="153"/>
      <c r="BO9" s="153"/>
      <c r="BP9" s="153"/>
      <c r="BQ9" s="153"/>
      <c r="BR9" s="153"/>
      <c r="BS9" s="153"/>
      <c r="BT9" s="153"/>
      <c r="BU9" s="153"/>
      <c r="BV9" s="155" t="s">
        <v>499</v>
      </c>
      <c r="BW9" s="155" t="s">
        <v>303</v>
      </c>
      <c r="BX9" s="155" t="s">
        <v>304</v>
      </c>
      <c r="BY9" s="155" t="s">
        <v>884</v>
      </c>
      <c r="BZ9" s="155" t="s">
        <v>481</v>
      </c>
      <c r="CA9" s="155" t="s">
        <v>412</v>
      </c>
      <c r="CB9" s="155" t="s">
        <v>413</v>
      </c>
      <c r="CC9" s="155" t="s">
        <v>414</v>
      </c>
      <c r="CD9" s="155" t="s">
        <v>415</v>
      </c>
      <c r="CE9" s="155"/>
      <c r="CF9" s="155"/>
      <c r="CG9" s="155"/>
      <c r="CH9" s="155"/>
      <c r="CI9" s="155" t="s">
        <v>506</v>
      </c>
      <c r="CJ9" s="155" t="s">
        <v>416</v>
      </c>
      <c r="CK9" s="155" t="s">
        <v>493</v>
      </c>
      <c r="CL9" s="155" t="s">
        <v>495</v>
      </c>
      <c r="CM9" s="155" t="s">
        <v>497</v>
      </c>
      <c r="CN9" s="155">
        <v>1088</v>
      </c>
      <c r="CO9" s="155">
        <v>720</v>
      </c>
      <c r="CP9" s="155">
        <v>1088</v>
      </c>
      <c r="CQ9" s="288" t="s">
        <v>885</v>
      </c>
      <c r="CR9" s="288" t="s">
        <v>482</v>
      </c>
      <c r="CS9" s="155"/>
      <c r="CT9" s="155"/>
      <c r="CU9" s="155"/>
      <c r="CV9" s="155" t="s">
        <v>504</v>
      </c>
      <c r="CW9" s="155" t="s">
        <v>411</v>
      </c>
      <c r="CX9" s="155" t="s">
        <v>343</v>
      </c>
      <c r="CY9" s="155" t="s">
        <v>439</v>
      </c>
      <c r="CZ9" s="155" t="s">
        <v>440</v>
      </c>
      <c r="DA9" s="155" t="s">
        <v>441</v>
      </c>
      <c r="DB9" s="316" t="s">
        <v>856</v>
      </c>
      <c r="DC9" s="316" t="s">
        <v>857</v>
      </c>
      <c r="DD9" s="155"/>
      <c r="DE9" s="155" t="s">
        <v>241</v>
      </c>
      <c r="DF9" s="155"/>
      <c r="DG9" s="155" t="s">
        <v>445</v>
      </c>
      <c r="DH9" s="155" t="s">
        <v>501</v>
      </c>
      <c r="DI9" s="155" t="s">
        <v>502</v>
      </c>
      <c r="DJ9" s="155" t="s">
        <v>503</v>
      </c>
      <c r="DK9" s="155"/>
      <c r="DL9" s="155"/>
      <c r="DM9" s="155"/>
      <c r="DN9" s="155"/>
      <c r="DO9" s="155"/>
      <c r="DP9" s="155"/>
      <c r="DQ9" s="155"/>
      <c r="DR9" s="155"/>
      <c r="DS9" s="155"/>
      <c r="DT9" s="155"/>
      <c r="DU9" s="155" t="s">
        <v>672</v>
      </c>
      <c r="DV9" s="155" t="s">
        <v>667</v>
      </c>
      <c r="DW9" s="155" t="s">
        <v>668</v>
      </c>
      <c r="DX9" s="155" t="s">
        <v>669</v>
      </c>
      <c r="DY9" s="155" t="s">
        <v>670</v>
      </c>
      <c r="DZ9" s="155"/>
      <c r="EA9" s="155"/>
      <c r="EB9" s="155"/>
      <c r="EC9" s="155"/>
      <c r="ED9" s="155"/>
      <c r="EE9" s="155"/>
      <c r="EF9" s="155"/>
      <c r="EG9" s="155"/>
      <c r="EH9" s="155"/>
      <c r="EI9" s="155"/>
      <c r="EJ9" s="155"/>
      <c r="EK9" s="155"/>
      <c r="EL9" s="288" t="s">
        <v>788</v>
      </c>
      <c r="EM9" s="288" t="s">
        <v>789</v>
      </c>
      <c r="EN9" s="155" t="s">
        <v>787</v>
      </c>
      <c r="EO9" s="988" t="s">
        <v>858</v>
      </c>
      <c r="EP9" s="988" t="s">
        <v>863</v>
      </c>
      <c r="EQ9" s="988" t="s">
        <v>865</v>
      </c>
      <c r="ER9" s="999">
        <v>1200</v>
      </c>
      <c r="ES9" s="996"/>
      <c r="ET9" s="1141"/>
      <c r="EU9" s="1141"/>
      <c r="EV9" s="155" t="s">
        <v>824</v>
      </c>
      <c r="EW9" s="155"/>
      <c r="EX9" s="155"/>
      <c r="EY9" s="155"/>
      <c r="EZ9" s="155"/>
    </row>
    <row r="10" spans="1:156" ht="14.25" customHeight="1">
      <c r="A10" s="20" t="s">
        <v>910</v>
      </c>
      <c r="B10" s="21" t="s">
        <v>402</v>
      </c>
      <c r="C10" s="22" t="s">
        <v>3</v>
      </c>
      <c r="D10" s="23" t="s">
        <v>82</v>
      </c>
      <c r="E10" s="21" t="s">
        <v>82</v>
      </c>
      <c r="F10" s="21" t="s">
        <v>138</v>
      </c>
      <c r="G10" s="6"/>
      <c r="H10" s="136"/>
      <c r="I10" s="1179" t="s">
        <v>905</v>
      </c>
      <c r="J10" s="1180" t="s">
        <v>898</v>
      </c>
      <c r="K10" s="1180" t="s">
        <v>901</v>
      </c>
      <c r="L10" s="1180" t="s">
        <v>906</v>
      </c>
      <c r="M10" s="57" t="s">
        <v>513</v>
      </c>
      <c r="N10" s="57" t="s">
        <v>139</v>
      </c>
      <c r="O10" s="57" t="s">
        <v>227</v>
      </c>
      <c r="P10" s="57" t="s">
        <v>140</v>
      </c>
      <c r="Q10" s="57" t="s">
        <v>141</v>
      </c>
      <c r="R10" s="57" t="s">
        <v>142</v>
      </c>
      <c r="S10" s="57"/>
      <c r="T10" s="57"/>
      <c r="U10" s="57"/>
      <c r="V10" s="57"/>
      <c r="W10" s="57"/>
      <c r="X10" s="61"/>
      <c r="Y10" s="1182"/>
      <c r="Z10" s="1183"/>
      <c r="AA10" s="1184"/>
      <c r="AB10" s="1183"/>
      <c r="AC10" s="57"/>
      <c r="AD10" s="57"/>
      <c r="AE10" s="57"/>
      <c r="AF10" s="61"/>
      <c r="AG10" s="62"/>
      <c r="AH10" s="57"/>
      <c r="AI10" s="57"/>
      <c r="AJ10" s="63"/>
      <c r="AK10" s="58"/>
      <c r="AL10" s="57"/>
      <c r="AM10" s="57"/>
      <c r="AN10" s="61"/>
      <c r="AO10" s="64"/>
      <c r="AP10" s="59"/>
      <c r="AQ10" s="64"/>
      <c r="AR10" s="59"/>
      <c r="AS10" s="147" t="s">
        <v>752</v>
      </c>
      <c r="AT10" s="63"/>
      <c r="AU10" s="147" t="s">
        <v>753</v>
      </c>
      <c r="AV10" s="63"/>
      <c r="AW10" s="147" t="s">
        <v>754</v>
      </c>
      <c r="AX10" s="63"/>
      <c r="AY10" s="128" t="str">
        <f t="shared" ref="AY10:BC10" si="4">IF(ISNUMBER(S10),S10," - ")</f>
        <v xml:space="preserve"> - </v>
      </c>
      <c r="AZ10" s="129" t="str">
        <f t="shared" si="4"/>
        <v xml:space="preserve"> - </v>
      </c>
      <c r="BA10" s="129" t="str">
        <f t="shared" si="4"/>
        <v xml:space="preserve"> - </v>
      </c>
      <c r="BB10" s="129" t="str">
        <f t="shared" si="4"/>
        <v xml:space="preserve"> - </v>
      </c>
      <c r="BC10" s="125" t="str">
        <f t="shared" si="4"/>
        <v xml:space="preserve"> - </v>
      </c>
      <c r="BD10" s="100" t="str">
        <f t="shared" si="0"/>
        <v xml:space="preserve"> - </v>
      </c>
      <c r="BE10" s="101" t="str">
        <f t="shared" si="1"/>
        <v xml:space="preserve"> - </v>
      </c>
      <c r="BF10" s="101" t="str">
        <f t="shared" si="2"/>
        <v xml:space="preserve"> - </v>
      </c>
      <c r="BG10" s="102" t="str">
        <f t="shared" si="3"/>
        <v xml:space="preserve"> - </v>
      </c>
      <c r="BH10" s="59"/>
      <c r="BI10" s="59"/>
      <c r="BJ10" s="148"/>
      <c r="BK10" s="64"/>
      <c r="BL10" s="64"/>
      <c r="BM10" s="153">
        <v>0</v>
      </c>
      <c r="BN10" s="153"/>
      <c r="BO10" s="153"/>
      <c r="BP10" s="153"/>
      <c r="BQ10" s="153"/>
      <c r="BR10" s="153"/>
      <c r="BS10" s="153"/>
      <c r="BT10" s="153"/>
      <c r="BU10" s="153"/>
      <c r="BV10" s="153" t="s">
        <v>310</v>
      </c>
      <c r="BW10" s="153" t="s">
        <v>347</v>
      </c>
      <c r="BX10" s="153" t="s">
        <v>348</v>
      </c>
      <c r="BY10" s="153" t="s">
        <v>896</v>
      </c>
      <c r="BZ10" s="153"/>
      <c r="CA10" s="153"/>
      <c r="CB10" s="153"/>
      <c r="CC10" s="153"/>
      <c r="CD10" s="153"/>
      <c r="CE10" s="153"/>
      <c r="CF10" s="153"/>
      <c r="CG10" s="153"/>
      <c r="CH10" s="153"/>
      <c r="CI10" s="153" t="s">
        <v>508</v>
      </c>
      <c r="CJ10" s="153" t="s">
        <v>300</v>
      </c>
      <c r="CK10" s="153" t="s">
        <v>459</v>
      </c>
      <c r="CL10" s="153" t="s">
        <v>460</v>
      </c>
      <c r="CM10" s="153" t="s">
        <v>461</v>
      </c>
      <c r="CN10" s="153">
        <v>1175</v>
      </c>
      <c r="CO10" s="153">
        <v>0</v>
      </c>
      <c r="CP10" s="288" t="s">
        <v>418</v>
      </c>
      <c r="CQ10" s="153" t="s">
        <v>897</v>
      </c>
      <c r="CR10" s="153"/>
      <c r="CS10" s="153"/>
      <c r="CT10" s="155"/>
      <c r="CU10" s="155"/>
      <c r="CV10" s="155" t="s">
        <v>315</v>
      </c>
      <c r="CW10" s="155" t="s">
        <v>339</v>
      </c>
      <c r="CX10" s="155" t="s">
        <v>342</v>
      </c>
      <c r="CY10" s="155" t="s">
        <v>509</v>
      </c>
      <c r="CZ10" s="155" t="s">
        <v>510</v>
      </c>
      <c r="DA10" s="155" t="s">
        <v>511</v>
      </c>
      <c r="DB10" s="319" t="s">
        <v>898</v>
      </c>
      <c r="DC10" s="318"/>
      <c r="DD10" s="155"/>
      <c r="DE10" s="155" t="s">
        <v>242</v>
      </c>
      <c r="DF10" s="155"/>
      <c r="DG10" s="155" t="s">
        <v>512</v>
      </c>
      <c r="DH10" s="153" t="s">
        <v>432</v>
      </c>
      <c r="DI10" s="153" t="s">
        <v>430</v>
      </c>
      <c r="DJ10" s="153" t="s">
        <v>431</v>
      </c>
      <c r="DK10" s="153"/>
      <c r="DL10" s="153"/>
      <c r="DM10" s="288"/>
      <c r="DN10" s="288"/>
      <c r="DO10" s="288"/>
      <c r="DP10" s="288"/>
      <c r="DQ10" s="288"/>
      <c r="DR10" s="288"/>
      <c r="DS10" s="288"/>
      <c r="DT10" s="288"/>
      <c r="DU10" s="154" t="s">
        <v>605</v>
      </c>
      <c r="DV10" s="288" t="s">
        <v>719</v>
      </c>
      <c r="DW10" s="288" t="s">
        <v>716</v>
      </c>
      <c r="DX10" s="288" t="s">
        <v>717</v>
      </c>
      <c r="DY10" s="288" t="s">
        <v>718</v>
      </c>
      <c r="DZ10" s="288"/>
      <c r="EA10" s="288"/>
      <c r="EB10" s="288"/>
      <c r="EC10" s="288"/>
      <c r="ED10" s="288"/>
      <c r="EE10" s="288"/>
      <c r="EF10" s="288"/>
      <c r="EG10" s="288"/>
      <c r="EH10" s="288"/>
      <c r="EI10" s="288"/>
      <c r="EJ10" s="288"/>
      <c r="EK10" s="288"/>
      <c r="EL10" s="288"/>
      <c r="EM10" s="288"/>
      <c r="EN10" s="288"/>
      <c r="EO10" s="319" t="s">
        <v>759</v>
      </c>
      <c r="EP10" s="319" t="s">
        <v>760</v>
      </c>
      <c r="EQ10" s="319" t="s">
        <v>761</v>
      </c>
      <c r="ER10" s="1000">
        <v>1600</v>
      </c>
      <c r="ES10" s="338"/>
      <c r="ET10" s="1141"/>
      <c r="EU10" s="1141"/>
      <c r="EV10" s="155" t="s">
        <v>826</v>
      </c>
      <c r="EW10" s="288"/>
      <c r="EX10" s="288"/>
      <c r="EY10" s="288"/>
      <c r="EZ10" s="288"/>
    </row>
    <row r="11" spans="1:156" ht="14.25" customHeight="1" thickBot="1">
      <c r="A11" s="20" t="s">
        <v>403</v>
      </c>
      <c r="B11" s="21" t="s">
        <v>402</v>
      </c>
      <c r="C11" s="22" t="s">
        <v>3</v>
      </c>
      <c r="D11" s="23" t="s">
        <v>20</v>
      </c>
      <c r="E11" s="21" t="s">
        <v>51</v>
      </c>
      <c r="F11" s="21">
        <v>32</v>
      </c>
      <c r="G11" s="6"/>
      <c r="H11" s="28" t="s">
        <v>36</v>
      </c>
      <c r="I11" s="1175" t="s">
        <v>879</v>
      </c>
      <c r="J11" s="1176" t="s">
        <v>880</v>
      </c>
      <c r="K11" s="1176" t="s">
        <v>881</v>
      </c>
      <c r="L11" s="1176" t="s">
        <v>882</v>
      </c>
      <c r="M11" s="26" t="s">
        <v>490</v>
      </c>
      <c r="N11" s="26" t="s">
        <v>38</v>
      </c>
      <c r="O11" s="57" t="s">
        <v>224</v>
      </c>
      <c r="P11" s="26" t="s">
        <v>39</v>
      </c>
      <c r="Q11" s="26" t="s">
        <v>40</v>
      </c>
      <c r="R11" s="26" t="s">
        <v>91</v>
      </c>
      <c r="S11" s="26"/>
      <c r="T11" s="26"/>
      <c r="U11" s="26"/>
      <c r="V11" s="26"/>
      <c r="W11" s="26"/>
      <c r="X11" s="52"/>
      <c r="Y11" s="1181" t="s">
        <v>872</v>
      </c>
      <c r="Z11" s="1177" t="s">
        <v>883</v>
      </c>
      <c r="AA11" s="1177" t="s">
        <v>873</v>
      </c>
      <c r="AB11" s="1177" t="s">
        <v>874</v>
      </c>
      <c r="AC11" s="26"/>
      <c r="AD11" s="26"/>
      <c r="AE11" s="26"/>
      <c r="AF11" s="52"/>
      <c r="AG11" s="49"/>
      <c r="AH11" s="26"/>
      <c r="AI11" s="26"/>
      <c r="AJ11" s="27"/>
      <c r="AK11" s="25"/>
      <c r="AL11" s="26"/>
      <c r="AM11" s="26"/>
      <c r="AN11" s="52"/>
      <c r="AO11" s="59"/>
      <c r="AP11" s="59"/>
      <c r="AQ11" s="59"/>
      <c r="AR11" s="64"/>
      <c r="AS11" s="49" t="s">
        <v>796</v>
      </c>
      <c r="AT11" s="27"/>
      <c r="AU11" s="49" t="s">
        <v>801</v>
      </c>
      <c r="AV11" s="27"/>
      <c r="AW11" s="49" t="s">
        <v>804</v>
      </c>
      <c r="AX11" s="27"/>
      <c r="AY11" s="126">
        <f>IF(ISNUMBER(IF(Criterios!B13="SI",S11,S11+AG11)),IF(Criterios!B13="SI",S11,S11+AG11)," - ")</f>
        <v>0</v>
      </c>
      <c r="AZ11" s="127">
        <f>IF(ISNUMBER(IF(Criterios!B13="SI",T11,T11+AH11)),IF(Criterios!B13="SI",T11,T11+AH11)," - ")</f>
        <v>0</v>
      </c>
      <c r="BA11" s="127">
        <f>IF(ISNUMBER(IF(Criterios!B13="SI",U11,U11+AI11)),IF(Criterios!B13="SI",U11,U11+AI11)," - ")</f>
        <v>0</v>
      </c>
      <c r="BB11" s="127">
        <f>IF(ISNUMBER(IF(Criterios!B13="SI",V11,V11+AJ11)),IF(Criterios!B13="SI",V11,V11+AJ11)," - ")</f>
        <v>0</v>
      </c>
      <c r="BC11" s="125" t="str">
        <f>IF(ISNUMBER(X11),X11," - ")</f>
        <v xml:space="preserve"> - </v>
      </c>
      <c r="BD11" s="100" t="str">
        <f t="shared" si="0"/>
        <v xml:space="preserve"> - </v>
      </c>
      <c r="BE11" s="101" t="str">
        <f t="shared" si="1"/>
        <v xml:space="preserve"> - </v>
      </c>
      <c r="BF11" s="101" t="str">
        <f t="shared" si="2"/>
        <v xml:space="preserve"> - </v>
      </c>
      <c r="BG11" s="102" t="str">
        <f t="shared" si="3"/>
        <v xml:space="preserve"> - </v>
      </c>
      <c r="BH11" s="59"/>
      <c r="BI11" s="59"/>
      <c r="BJ11" s="49"/>
      <c r="BK11" s="59"/>
      <c r="BL11" s="59"/>
      <c r="BM11" s="156">
        <v>1000</v>
      </c>
      <c r="BN11" s="153"/>
      <c r="BO11" s="153"/>
      <c r="BP11" s="153"/>
      <c r="BQ11" s="153"/>
      <c r="BR11" s="153"/>
      <c r="BS11" s="153"/>
      <c r="BT11" s="153"/>
      <c r="BU11" s="153"/>
      <c r="BV11" s="155" t="s">
        <v>498</v>
      </c>
      <c r="BW11" s="155" t="s">
        <v>254</v>
      </c>
      <c r="BX11" s="155" t="s">
        <v>255</v>
      </c>
      <c r="BY11" s="156" t="s">
        <v>862</v>
      </c>
      <c r="BZ11" s="155" t="s">
        <v>889</v>
      </c>
      <c r="CA11" s="155" t="s">
        <v>290</v>
      </c>
      <c r="CB11" s="155" t="s">
        <v>285</v>
      </c>
      <c r="CC11" s="155" t="s">
        <v>286</v>
      </c>
      <c r="CD11" s="155" t="s">
        <v>287</v>
      </c>
      <c r="CE11" s="156"/>
      <c r="CF11" s="156"/>
      <c r="CG11" s="156"/>
      <c r="CH11" s="156"/>
      <c r="CI11" s="156" t="s">
        <v>483</v>
      </c>
      <c r="CJ11" s="156" t="s">
        <v>298</v>
      </c>
      <c r="CK11" s="155" t="s">
        <v>492</v>
      </c>
      <c r="CL11" s="155" t="s">
        <v>494</v>
      </c>
      <c r="CM11" s="155" t="s">
        <v>496</v>
      </c>
      <c r="CN11" s="155">
        <v>1088</v>
      </c>
      <c r="CO11" s="156">
        <v>1000</v>
      </c>
      <c r="CP11" s="155">
        <v>1088</v>
      </c>
      <c r="CQ11" s="155" t="s">
        <v>840</v>
      </c>
      <c r="CR11" s="155" t="s">
        <v>890</v>
      </c>
      <c r="CS11" s="156"/>
      <c r="CT11" s="155"/>
      <c r="CU11" s="155"/>
      <c r="CV11" s="155" t="s">
        <v>504</v>
      </c>
      <c r="CW11" s="155" t="s">
        <v>336</v>
      </c>
      <c r="CX11" s="155" t="s">
        <v>343</v>
      </c>
      <c r="CY11" s="155" t="s">
        <v>439</v>
      </c>
      <c r="CZ11" s="155" t="s">
        <v>440</v>
      </c>
      <c r="DA11" s="155" t="s">
        <v>441</v>
      </c>
      <c r="DB11" s="146" t="s">
        <v>851</v>
      </c>
      <c r="DC11" s="146" t="s">
        <v>852</v>
      </c>
      <c r="DD11" s="155"/>
      <c r="DE11" s="155" t="s">
        <v>243</v>
      </c>
      <c r="DF11" s="155"/>
      <c r="DG11" s="155" t="s">
        <v>445</v>
      </c>
      <c r="DH11" s="155" t="s">
        <v>501</v>
      </c>
      <c r="DI11" s="155" t="s">
        <v>502</v>
      </c>
      <c r="DJ11" s="155" t="s">
        <v>503</v>
      </c>
      <c r="DK11" s="155"/>
      <c r="DL11" s="155"/>
      <c r="DM11" s="288"/>
      <c r="DN11" s="288"/>
      <c r="DO11" s="288"/>
      <c r="DP11" s="288"/>
      <c r="DQ11" s="288"/>
      <c r="DR11" s="288"/>
      <c r="DS11" s="288"/>
      <c r="DT11" s="288"/>
      <c r="DU11" s="288" t="s">
        <v>672</v>
      </c>
      <c r="DV11" s="288" t="s">
        <v>667</v>
      </c>
      <c r="DW11" s="288" t="s">
        <v>668</v>
      </c>
      <c r="DX11" s="288" t="s">
        <v>669</v>
      </c>
      <c r="DY11" s="288" t="s">
        <v>670</v>
      </c>
      <c r="DZ11" s="288"/>
      <c r="EA11" s="288"/>
      <c r="EB11" s="288"/>
      <c r="EC11" s="288"/>
      <c r="ED11" s="288"/>
      <c r="EE11" s="288"/>
      <c r="EF11" s="288"/>
      <c r="EG11" s="288"/>
      <c r="EH11" s="288"/>
      <c r="EI11" s="288"/>
      <c r="EJ11" s="288"/>
      <c r="EK11" s="288"/>
      <c r="EL11" s="288"/>
      <c r="EM11" s="288"/>
      <c r="EN11" s="288"/>
      <c r="EO11" s="987" t="s">
        <v>859</v>
      </c>
      <c r="EP11" s="987" t="s">
        <v>841</v>
      </c>
      <c r="EQ11" s="987" t="s">
        <v>842</v>
      </c>
      <c r="ER11" s="1001">
        <v>1323</v>
      </c>
      <c r="ES11" s="997"/>
      <c r="ET11" s="1141"/>
      <c r="EU11" s="1141"/>
      <c r="EV11" s="155" t="s">
        <v>823</v>
      </c>
      <c r="EW11" s="288"/>
      <c r="EX11" s="288"/>
      <c r="EY11" s="288"/>
      <c r="EZ11" s="288"/>
    </row>
    <row r="12" spans="1:156" ht="14.25" customHeight="1">
      <c r="A12" s="20" t="s">
        <v>909</v>
      </c>
      <c r="B12" s="21" t="s">
        <v>402</v>
      </c>
      <c r="C12" s="22" t="s">
        <v>3</v>
      </c>
      <c r="D12" s="23" t="s">
        <v>20</v>
      </c>
      <c r="E12" s="21" t="s">
        <v>20</v>
      </c>
      <c r="F12" s="21">
        <v>31</v>
      </c>
      <c r="G12" s="6"/>
      <c r="H12" s="29"/>
      <c r="I12" s="1175" t="s">
        <v>908</v>
      </c>
      <c r="J12" s="1176" t="s">
        <v>899</v>
      </c>
      <c r="K12" s="1176" t="s">
        <v>902</v>
      </c>
      <c r="L12" s="1176" t="s">
        <v>907</v>
      </c>
      <c r="M12" s="26" t="s">
        <v>846</v>
      </c>
      <c r="N12" s="26" t="s">
        <v>38</v>
      </c>
      <c r="O12" s="57" t="s">
        <v>224</v>
      </c>
      <c r="P12" s="26" t="s">
        <v>381</v>
      </c>
      <c r="Q12" s="26" t="s">
        <v>382</v>
      </c>
      <c r="R12" s="26" t="s">
        <v>383</v>
      </c>
      <c r="S12" s="26"/>
      <c r="T12" s="26"/>
      <c r="U12" s="26"/>
      <c r="V12" s="26"/>
      <c r="W12" s="26"/>
      <c r="X12" s="52"/>
      <c r="Y12" s="1181" t="s">
        <v>872</v>
      </c>
      <c r="Z12" s="1177" t="s">
        <v>871</v>
      </c>
      <c r="AA12" s="1177" t="s">
        <v>873</v>
      </c>
      <c r="AB12" s="1177" t="s">
        <v>874</v>
      </c>
      <c r="AC12" s="26"/>
      <c r="AD12" s="26"/>
      <c r="AE12" s="26"/>
      <c r="AF12" s="52"/>
      <c r="AG12" s="49"/>
      <c r="AH12" s="26"/>
      <c r="AI12" s="26"/>
      <c r="AJ12" s="27"/>
      <c r="AK12" s="25"/>
      <c r="AL12" s="26"/>
      <c r="AM12" s="26"/>
      <c r="AN12" s="52"/>
      <c r="AO12" s="59"/>
      <c r="AP12" s="59"/>
      <c r="AQ12" s="59"/>
      <c r="AR12" s="64"/>
      <c r="AS12" s="49" t="s">
        <v>900</v>
      </c>
      <c r="AT12" s="27"/>
      <c r="AU12" s="49" t="s">
        <v>903</v>
      </c>
      <c r="AV12" s="27"/>
      <c r="AW12" s="49" t="s">
        <v>895</v>
      </c>
      <c r="AX12" s="27"/>
      <c r="AY12" s="126">
        <f>IF(ISNUMBER(IF(Criterios!B13="SI",S12,S12+AG12)),IF(Criterios!B13="SI",S12,S12+AG12)," - ")</f>
        <v>0</v>
      </c>
      <c r="AZ12" s="127">
        <f>IF(ISNUMBER(IF(Criterios!B13="SI",T12,T12+AH12)),IF(Criterios!B13="SI",T12,T12+AH12)," - ")</f>
        <v>0</v>
      </c>
      <c r="BA12" s="127">
        <f>IF(ISNUMBER(IF(Criterios!B13="SI",U12,U12+AI12)),IF(Criterios!B13="SI",U12,U12+AI12)," - ")</f>
        <v>0</v>
      </c>
      <c r="BB12" s="127">
        <f>IF(ISNUMBER(IF(Criterios!B13="SI",V12,V12+AJ12)),IF(Criterios!B13="SI",V12,V12+AJ12)," - ")</f>
        <v>0</v>
      </c>
      <c r="BC12" s="125" t="str">
        <f>IF(ISNUMBER(X12),X12," - ")</f>
        <v xml:space="preserve"> - </v>
      </c>
      <c r="BD12" s="100" t="str">
        <f t="shared" si="0"/>
        <v xml:space="preserve"> - </v>
      </c>
      <c r="BE12" s="101" t="str">
        <f t="shared" si="1"/>
        <v xml:space="preserve"> - </v>
      </c>
      <c r="BF12" s="101" t="str">
        <f t="shared" si="2"/>
        <v xml:space="preserve"> - </v>
      </c>
      <c r="BG12" s="102" t="str">
        <f t="shared" si="3"/>
        <v xml:space="preserve"> - </v>
      </c>
      <c r="BH12" s="59"/>
      <c r="BI12" s="59"/>
      <c r="BJ12" s="49"/>
      <c r="BK12" s="59"/>
      <c r="BL12" s="59"/>
      <c r="BM12" s="156">
        <v>380</v>
      </c>
      <c r="BN12" s="153"/>
      <c r="BO12" s="153"/>
      <c r="BP12" s="153"/>
      <c r="BQ12" s="153"/>
      <c r="BR12" s="153"/>
      <c r="BS12" s="153"/>
      <c r="BT12" s="153"/>
      <c r="BU12" s="153"/>
      <c r="BV12" s="155" t="s">
        <v>500</v>
      </c>
      <c r="BW12" s="155" t="s">
        <v>384</v>
      </c>
      <c r="BX12" s="155" t="s">
        <v>385</v>
      </c>
      <c r="BY12" s="156" t="s">
        <v>904</v>
      </c>
      <c r="BZ12" s="155"/>
      <c r="CA12" s="155" t="s">
        <v>290</v>
      </c>
      <c r="CB12" s="155" t="s">
        <v>285</v>
      </c>
      <c r="CC12" s="155" t="s">
        <v>286</v>
      </c>
      <c r="CD12" s="155" t="s">
        <v>287</v>
      </c>
      <c r="CE12" s="156"/>
      <c r="CF12" s="156"/>
      <c r="CG12" s="156"/>
      <c r="CH12" s="156"/>
      <c r="CI12" s="156" t="s">
        <v>483</v>
      </c>
      <c r="CJ12" s="156" t="s">
        <v>298</v>
      </c>
      <c r="CK12" s="155" t="s">
        <v>493</v>
      </c>
      <c r="CL12" s="155" t="s">
        <v>495</v>
      </c>
      <c r="CM12" s="155" t="s">
        <v>497</v>
      </c>
      <c r="CN12" s="288" t="s">
        <v>332</v>
      </c>
      <c r="CO12" s="156">
        <v>2880</v>
      </c>
      <c r="CP12" s="288" t="s">
        <v>307</v>
      </c>
      <c r="CQ12" s="288" t="s">
        <v>886</v>
      </c>
      <c r="CR12" s="288"/>
      <c r="CS12" s="156"/>
      <c r="CT12" s="155"/>
      <c r="CU12" s="155"/>
      <c r="CV12" s="155" t="s">
        <v>504</v>
      </c>
      <c r="CW12" s="155" t="s">
        <v>336</v>
      </c>
      <c r="CX12" s="155" t="s">
        <v>343</v>
      </c>
      <c r="CY12" s="155" t="s">
        <v>439</v>
      </c>
      <c r="CZ12" s="155" t="s">
        <v>440</v>
      </c>
      <c r="DA12" s="155" t="s">
        <v>441</v>
      </c>
      <c r="DB12" s="316" t="s">
        <v>853</v>
      </c>
      <c r="DC12" s="316" t="s">
        <v>854</v>
      </c>
      <c r="DD12" s="155"/>
      <c r="DE12" s="155" t="s">
        <v>244</v>
      </c>
      <c r="DF12" s="155"/>
      <c r="DG12" s="155" t="s">
        <v>445</v>
      </c>
      <c r="DH12" s="155" t="s">
        <v>501</v>
      </c>
      <c r="DI12" s="155" t="s">
        <v>502</v>
      </c>
      <c r="DJ12" s="155" t="s">
        <v>503</v>
      </c>
      <c r="DK12" s="155"/>
      <c r="DL12" s="155"/>
      <c r="DM12" s="288"/>
      <c r="DN12" s="288"/>
      <c r="DO12" s="288"/>
      <c r="DP12" s="288"/>
      <c r="DQ12" s="288"/>
      <c r="DR12" s="288"/>
      <c r="DS12" s="288"/>
      <c r="DT12" s="288"/>
      <c r="DU12" s="288" t="s">
        <v>672</v>
      </c>
      <c r="DV12" s="288" t="s">
        <v>667</v>
      </c>
      <c r="DW12" s="288" t="s">
        <v>668</v>
      </c>
      <c r="DX12" s="288" t="s">
        <v>669</v>
      </c>
      <c r="DY12" s="288" t="s">
        <v>670</v>
      </c>
      <c r="DZ12" s="288"/>
      <c r="EA12" s="288"/>
      <c r="EB12" s="288"/>
      <c r="EC12" s="288"/>
      <c r="ED12" s="288"/>
      <c r="EE12" s="288"/>
      <c r="EF12" s="288"/>
      <c r="EG12" s="288"/>
      <c r="EH12" s="288"/>
      <c r="EI12" s="288"/>
      <c r="EJ12" s="288"/>
      <c r="EK12" s="288"/>
      <c r="EL12" s="288" t="s">
        <v>788</v>
      </c>
      <c r="EM12" s="288" t="s">
        <v>789</v>
      </c>
      <c r="EN12" s="155" t="s">
        <v>787</v>
      </c>
      <c r="EO12" s="988" t="s">
        <v>861</v>
      </c>
      <c r="EP12" s="988" t="s">
        <v>864</v>
      </c>
      <c r="EQ12" s="988" t="s">
        <v>866</v>
      </c>
      <c r="ER12" s="999">
        <v>680</v>
      </c>
      <c r="ES12" s="998"/>
      <c r="ET12" s="1141"/>
      <c r="EU12" s="1141"/>
      <c r="EV12" s="155" t="s">
        <v>823</v>
      </c>
      <c r="EW12" s="288"/>
      <c r="EX12" s="288"/>
      <c r="EY12" s="288"/>
      <c r="EZ12" s="288"/>
    </row>
    <row r="13" spans="1:156" ht="14.25" customHeight="1" thickBot="1">
      <c r="A13" s="74" t="s">
        <v>0</v>
      </c>
      <c r="B13" s="75" t="s">
        <v>402</v>
      </c>
      <c r="C13" s="76" t="s">
        <v>4</v>
      </c>
      <c r="D13" s="77"/>
      <c r="E13" s="78"/>
      <c r="F13" s="78"/>
      <c r="G13" s="79"/>
      <c r="H13" s="80"/>
      <c r="I13" s="106">
        <f t="shared" ref="I13:N13" si="5">SUBTOTAL(9,I9:I12)</f>
        <v>0</v>
      </c>
      <c r="J13" s="106">
        <f t="shared" si="5"/>
        <v>0</v>
      </c>
      <c r="K13" s="106">
        <f t="shared" si="5"/>
        <v>0</v>
      </c>
      <c r="L13" s="106">
        <f t="shared" si="5"/>
        <v>0</v>
      </c>
      <c r="M13" s="106">
        <f t="shared" si="5"/>
        <v>0</v>
      </c>
      <c r="N13" s="106">
        <f t="shared" si="5"/>
        <v>0</v>
      </c>
      <c r="O13" s="106"/>
      <c r="P13" s="106">
        <f t="shared" ref="P13:BC13" si="6">SUBTOTAL(9,P9:P12)</f>
        <v>0</v>
      </c>
      <c r="Q13" s="106">
        <f t="shared" si="6"/>
        <v>0</v>
      </c>
      <c r="R13" s="106">
        <f t="shared" si="6"/>
        <v>0</v>
      </c>
      <c r="S13" s="106">
        <f t="shared" si="6"/>
        <v>0</v>
      </c>
      <c r="T13" s="106">
        <f t="shared" si="6"/>
        <v>0</v>
      </c>
      <c r="U13" s="106">
        <f t="shared" si="6"/>
        <v>0</v>
      </c>
      <c r="V13" s="106">
        <f t="shared" si="6"/>
        <v>0</v>
      </c>
      <c r="W13" s="106">
        <f t="shared" si="6"/>
        <v>0</v>
      </c>
      <c r="X13" s="106">
        <f t="shared" si="6"/>
        <v>0</v>
      </c>
      <c r="Y13" s="107">
        <f t="shared" si="6"/>
        <v>0</v>
      </c>
      <c r="Z13" s="106">
        <f t="shared" si="6"/>
        <v>0</v>
      </c>
      <c r="AA13" s="106">
        <f t="shared" si="6"/>
        <v>0</v>
      </c>
      <c r="AB13" s="106">
        <f t="shared" si="6"/>
        <v>0</v>
      </c>
      <c r="AC13" s="106">
        <f t="shared" si="6"/>
        <v>0</v>
      </c>
      <c r="AD13" s="106">
        <f t="shared" si="6"/>
        <v>0</v>
      </c>
      <c r="AE13" s="106">
        <f t="shared" si="6"/>
        <v>0</v>
      </c>
      <c r="AF13" s="106">
        <f t="shared" si="6"/>
        <v>0</v>
      </c>
      <c r="AG13" s="107">
        <f t="shared" si="6"/>
        <v>0</v>
      </c>
      <c r="AH13" s="106">
        <f t="shared" si="6"/>
        <v>0</v>
      </c>
      <c r="AI13" s="106">
        <f t="shared" si="6"/>
        <v>0</v>
      </c>
      <c r="AJ13" s="108">
        <f t="shared" si="6"/>
        <v>0</v>
      </c>
      <c r="AK13" s="81">
        <f t="shared" si="6"/>
        <v>0</v>
      </c>
      <c r="AL13" s="106">
        <f t="shared" si="6"/>
        <v>0</v>
      </c>
      <c r="AM13" s="106">
        <f t="shared" si="6"/>
        <v>0</v>
      </c>
      <c r="AN13" s="110">
        <f t="shared" si="6"/>
        <v>0</v>
      </c>
      <c r="AO13" s="109">
        <f t="shared" si="6"/>
        <v>0</v>
      </c>
      <c r="AP13" s="109">
        <f t="shared" si="6"/>
        <v>0</v>
      </c>
      <c r="AQ13" s="109">
        <f t="shared" si="6"/>
        <v>0</v>
      </c>
      <c r="AR13" s="109">
        <f t="shared" si="6"/>
        <v>0</v>
      </c>
      <c r="AS13" s="109">
        <f t="shared" si="6"/>
        <v>0</v>
      </c>
      <c r="AT13" s="109">
        <f t="shared" si="6"/>
        <v>0</v>
      </c>
      <c r="AU13" s="109">
        <f t="shared" si="6"/>
        <v>0</v>
      </c>
      <c r="AV13" s="109">
        <f t="shared" si="6"/>
        <v>0</v>
      </c>
      <c r="AW13" s="109">
        <f t="shared" si="6"/>
        <v>0</v>
      </c>
      <c r="AX13" s="109">
        <f t="shared" si="6"/>
        <v>0</v>
      </c>
      <c r="AY13" s="130">
        <f t="shared" si="6"/>
        <v>0</v>
      </c>
      <c r="AZ13" s="131">
        <f t="shared" si="6"/>
        <v>0</v>
      </c>
      <c r="BA13" s="131">
        <f t="shared" si="6"/>
        <v>0</v>
      </c>
      <c r="BB13" s="131">
        <f t="shared" si="6"/>
        <v>0</v>
      </c>
      <c r="BC13" s="132">
        <f t="shared" si="6"/>
        <v>0</v>
      </c>
      <c r="BD13" s="111" t="str">
        <f>IF(ISNUMBER(BA13/AZ13),BA13/AZ13," - ")</f>
        <v xml:space="preserve"> - </v>
      </c>
      <c r="BE13" s="112" t="str">
        <f>IF(ISNUMBER(BB13/BA13),BB13/BA13, " - ")</f>
        <v xml:space="preserve"> - </v>
      </c>
      <c r="BF13" s="112" t="str">
        <f>IF(ISNUMBER(BC13/BA13),BC13/BA13, " - ")</f>
        <v xml:space="preserve"> - </v>
      </c>
      <c r="BG13" s="113" t="str">
        <f>IF(ISNUMBER((AY13+AZ13)/BA13),(AY13+AZ13)/BA13," - ")</f>
        <v xml:space="preserve"> - </v>
      </c>
      <c r="BH13" s="109">
        <f>SUBTOTAL(9,BH9:BH12)</f>
        <v>0</v>
      </c>
      <c r="BI13" s="109">
        <f>SUBTOTAL(9,BI9:BI12)</f>
        <v>0</v>
      </c>
      <c r="BJ13" s="107"/>
      <c r="BK13" s="109">
        <f>SUBTOTAL(9,BK9:BK12)</f>
        <v>0</v>
      </c>
      <c r="BL13" s="109"/>
      <c r="BM13" s="150"/>
      <c r="BN13" s="150"/>
      <c r="BO13" s="150"/>
      <c r="BP13" s="150"/>
      <c r="BQ13" s="150"/>
      <c r="BR13" s="150"/>
      <c r="BS13" s="150"/>
      <c r="BT13" s="150"/>
      <c r="BU13" s="150"/>
      <c r="BV13" s="150"/>
      <c r="BW13" s="150"/>
      <c r="BX13" s="150"/>
      <c r="BY13" s="150"/>
      <c r="BZ13" s="150"/>
      <c r="CA13" s="150"/>
      <c r="CB13" s="150"/>
      <c r="CC13" s="150"/>
      <c r="CD13" s="150"/>
      <c r="CE13" s="150"/>
      <c r="CF13" s="150"/>
      <c r="CG13" s="150"/>
      <c r="CH13" s="150"/>
      <c r="CI13" s="150">
        <f>SUM(CI9:CI12)</f>
        <v>0</v>
      </c>
      <c r="CJ13" s="150">
        <f>SUM(CJ9:CJ12)</f>
        <v>0</v>
      </c>
      <c r="CK13" s="150"/>
      <c r="CL13" s="150"/>
      <c r="CM13" s="150"/>
      <c r="CN13" s="150"/>
      <c r="CO13" s="150"/>
      <c r="CP13" s="150"/>
      <c r="CQ13" s="150"/>
      <c r="CR13" s="150"/>
      <c r="CS13" s="150"/>
      <c r="CT13" s="150"/>
      <c r="CU13" s="150"/>
      <c r="CV13" s="150"/>
      <c r="CW13" s="150"/>
      <c r="CX13" s="150"/>
      <c r="CY13" s="150"/>
      <c r="CZ13" s="150"/>
      <c r="DA13" s="150"/>
      <c r="DB13" s="321"/>
      <c r="DC13" s="322"/>
      <c r="DD13" s="323"/>
      <c r="DE13" s="323"/>
      <c r="DF13" s="323"/>
      <c r="DG13" s="150"/>
      <c r="DH13" s="150"/>
      <c r="DI13" s="150"/>
      <c r="DJ13" s="150"/>
      <c r="DK13" s="150"/>
      <c r="DL13" s="150"/>
      <c r="DM13" s="150"/>
      <c r="DN13" s="150"/>
      <c r="DO13" s="150"/>
      <c r="DP13" s="150"/>
      <c r="DQ13" s="150"/>
      <c r="DR13" s="150"/>
      <c r="DS13" s="150"/>
      <c r="DT13" s="150"/>
      <c r="DU13" s="150"/>
      <c r="DV13" s="150"/>
      <c r="DW13" s="150"/>
      <c r="DX13" s="150"/>
      <c r="DY13" s="150"/>
      <c r="DZ13" s="150"/>
      <c r="EA13" s="150"/>
      <c r="EB13" s="150"/>
      <c r="EC13" s="150"/>
      <c r="ED13" s="150"/>
      <c r="EE13" s="150"/>
      <c r="EF13" s="150"/>
      <c r="EG13" s="150"/>
      <c r="EH13" s="150"/>
      <c r="EI13" s="150"/>
      <c r="EJ13" s="150"/>
      <c r="EK13" s="150"/>
      <c r="EL13" s="150"/>
      <c r="EM13" s="150"/>
      <c r="EN13" s="150"/>
      <c r="EO13" s="321"/>
      <c r="EP13" s="321"/>
      <c r="EQ13" s="321"/>
      <c r="ER13" s="150">
        <f>AVERAGE(ER8:ER12)</f>
        <v>990.2</v>
      </c>
      <c r="ES13" s="150">
        <f>SUBTOTAL(9,ES8:ES12)</f>
        <v>0</v>
      </c>
      <c r="ET13" s="150"/>
      <c r="EU13" s="150"/>
      <c r="EV13" s="150">
        <f>SUBTOTAL(9,EV8:EV12)</f>
        <v>0</v>
      </c>
      <c r="EW13" s="150">
        <f>SUBTOTAL(9,EW8:EW12)</f>
        <v>0</v>
      </c>
      <c r="EX13" s="150">
        <f>SUBTOTAL(9,EX8:EX12)</f>
        <v>0</v>
      </c>
      <c r="EY13" s="150">
        <f>SUBTOTAL(9,EY8:EY12)</f>
        <v>0</v>
      </c>
      <c r="EZ13" s="150"/>
    </row>
    <row r="14" spans="1:156" ht="14.25" customHeight="1">
      <c r="A14" s="70" t="s">
        <v>101</v>
      </c>
      <c r="B14" s="82" t="s">
        <v>402</v>
      </c>
      <c r="C14" s="83" t="s">
        <v>2</v>
      </c>
      <c r="D14" s="84"/>
      <c r="E14" s="85"/>
      <c r="F14" s="85"/>
      <c r="G14" s="86"/>
      <c r="H14" s="87"/>
      <c r="I14" s="88"/>
      <c r="J14" s="18"/>
      <c r="K14" s="18"/>
      <c r="L14" s="18"/>
      <c r="M14" s="18"/>
      <c r="N14" s="18"/>
      <c r="O14" s="18"/>
      <c r="P14" s="18"/>
      <c r="Q14" s="18"/>
      <c r="R14" s="18"/>
      <c r="S14" s="18"/>
      <c r="T14" s="18"/>
      <c r="U14" s="18"/>
      <c r="V14" s="18"/>
      <c r="W14" s="18"/>
      <c r="X14" s="51"/>
      <c r="Y14" s="48"/>
      <c r="Z14" s="18"/>
      <c r="AA14" s="18"/>
      <c r="AB14" s="18"/>
      <c r="AC14" s="18"/>
      <c r="AD14" s="18"/>
      <c r="AE14" s="18"/>
      <c r="AF14" s="51"/>
      <c r="AG14" s="48"/>
      <c r="AH14" s="18"/>
      <c r="AI14" s="18"/>
      <c r="AJ14" s="19"/>
      <c r="AK14" s="17"/>
      <c r="AL14" s="18"/>
      <c r="AM14" s="18"/>
      <c r="AN14" s="51"/>
      <c r="AO14" s="60"/>
      <c r="AP14" s="60"/>
      <c r="AQ14" s="60"/>
      <c r="AR14" s="60"/>
      <c r="AS14" s="316"/>
      <c r="AT14" s="194"/>
      <c r="AU14" s="316"/>
      <c r="AV14" s="194"/>
      <c r="AW14" s="193"/>
      <c r="AX14" s="194"/>
      <c r="AY14" s="103"/>
      <c r="AZ14" s="104"/>
      <c r="BA14" s="104"/>
      <c r="BB14" s="104"/>
      <c r="BC14" s="105"/>
      <c r="BD14" s="103"/>
      <c r="BE14" s="104"/>
      <c r="BF14" s="104"/>
      <c r="BG14" s="105"/>
      <c r="BH14" s="60"/>
      <c r="BI14" s="60"/>
      <c r="BJ14" s="48"/>
      <c r="BK14" s="60"/>
      <c r="BL14" s="60"/>
      <c r="BM14" s="151"/>
      <c r="BN14" s="151"/>
      <c r="BO14" s="151"/>
      <c r="BP14" s="151"/>
      <c r="BQ14" s="151"/>
      <c r="BR14" s="151"/>
      <c r="BS14" s="151"/>
      <c r="BT14" s="151"/>
      <c r="BU14" s="151"/>
      <c r="BV14" s="151"/>
      <c r="BW14" s="151"/>
      <c r="BX14" s="151"/>
      <c r="BY14" s="151"/>
      <c r="BZ14" s="151"/>
      <c r="CA14" s="151"/>
      <c r="CB14" s="151"/>
      <c r="CC14" s="151"/>
      <c r="CD14" s="151"/>
      <c r="CE14" s="151"/>
      <c r="CF14" s="151"/>
      <c r="CG14" s="151"/>
      <c r="CH14" s="151"/>
      <c r="CI14" s="151"/>
      <c r="CJ14" s="151"/>
      <c r="CK14" s="151"/>
      <c r="CL14" s="151"/>
      <c r="CM14" s="151"/>
      <c r="CN14" s="151"/>
      <c r="CO14" s="151"/>
      <c r="CP14" s="151"/>
      <c r="CQ14" s="151"/>
      <c r="CR14" s="151"/>
      <c r="CS14" s="151"/>
      <c r="CT14" s="151"/>
      <c r="CU14" s="151"/>
      <c r="CV14" s="151"/>
      <c r="CW14" s="151"/>
      <c r="CX14" s="151"/>
      <c r="CY14" s="151"/>
      <c r="CZ14" s="151"/>
      <c r="DA14" s="151"/>
      <c r="DB14" s="316"/>
      <c r="DC14" s="317"/>
      <c r="DD14" s="324"/>
      <c r="DE14" s="324"/>
      <c r="DF14" s="324"/>
      <c r="DG14" s="151"/>
      <c r="DH14" s="151"/>
      <c r="DI14" s="151"/>
      <c r="DJ14" s="151"/>
      <c r="DK14" s="151"/>
      <c r="DL14" s="151"/>
      <c r="DM14" s="151"/>
      <c r="DN14" s="151"/>
      <c r="DO14" s="151"/>
      <c r="DP14" s="151"/>
      <c r="DQ14" s="151"/>
      <c r="DR14" s="151"/>
      <c r="DS14" s="151"/>
      <c r="DT14" s="151"/>
      <c r="DU14" s="151"/>
      <c r="DV14" s="151"/>
      <c r="DW14" s="151"/>
      <c r="DX14" s="151"/>
      <c r="DY14" s="151"/>
      <c r="DZ14" s="151"/>
      <c r="EA14" s="151"/>
      <c r="EB14" s="151"/>
      <c r="EC14" s="151"/>
      <c r="ED14" s="151"/>
      <c r="EE14" s="151"/>
      <c r="EF14" s="151"/>
      <c r="EG14" s="151"/>
      <c r="EH14" s="151"/>
      <c r="EI14" s="151"/>
      <c r="EJ14" s="151"/>
      <c r="EK14" s="151"/>
      <c r="EL14" s="151"/>
      <c r="EM14" s="151"/>
      <c r="EN14" s="151"/>
      <c r="EO14" s="316"/>
      <c r="EP14" s="316"/>
      <c r="EQ14" s="316"/>
      <c r="ER14" s="337"/>
      <c r="ES14" s="337"/>
      <c r="ET14" s="182"/>
      <c r="EU14" s="182"/>
      <c r="EV14" s="151"/>
      <c r="EW14" s="151"/>
      <c r="EX14" s="151"/>
      <c r="EY14" s="151"/>
      <c r="EZ14" s="151"/>
    </row>
    <row r="15" spans="1:156" ht="14.25" customHeight="1">
      <c r="A15" s="7" t="s">
        <v>405</v>
      </c>
      <c r="B15" s="21" t="s">
        <v>402</v>
      </c>
      <c r="C15" s="22" t="s">
        <v>3</v>
      </c>
      <c r="D15" s="23" t="s">
        <v>20</v>
      </c>
      <c r="E15" s="21" t="s">
        <v>22</v>
      </c>
      <c r="F15" s="21">
        <v>33</v>
      </c>
      <c r="G15" s="6"/>
      <c r="H15" s="24"/>
      <c r="I15" s="25" t="s">
        <v>516</v>
      </c>
      <c r="J15" s="26" t="s">
        <v>767</v>
      </c>
      <c r="K15" s="26" t="s">
        <v>775</v>
      </c>
      <c r="L15" s="26" t="s">
        <v>780</v>
      </c>
      <c r="M15" s="26" t="s">
        <v>515</v>
      </c>
      <c r="N15" s="26" t="s">
        <v>324</v>
      </c>
      <c r="O15" s="57" t="s">
        <v>325</v>
      </c>
      <c r="P15" s="26" t="s">
        <v>473</v>
      </c>
      <c r="Q15" s="26" t="s">
        <v>474</v>
      </c>
      <c r="R15" s="26" t="s">
        <v>475</v>
      </c>
      <c r="S15" s="26"/>
      <c r="T15" s="26"/>
      <c r="U15" s="26"/>
      <c r="V15" s="26"/>
      <c r="W15" s="26"/>
      <c r="X15" s="52"/>
      <c r="Y15" s="49"/>
      <c r="Z15" s="26"/>
      <c r="AA15" s="26"/>
      <c r="AB15" s="26"/>
      <c r="AC15" s="26" t="s">
        <v>44</v>
      </c>
      <c r="AD15" s="26" t="s">
        <v>48</v>
      </c>
      <c r="AE15" s="26" t="s">
        <v>49</v>
      </c>
      <c r="AF15" s="52" t="s">
        <v>50</v>
      </c>
      <c r="AG15" s="49"/>
      <c r="AH15" s="26"/>
      <c r="AI15" s="26"/>
      <c r="AJ15" s="27"/>
      <c r="AK15" s="25"/>
      <c r="AL15" s="26"/>
      <c r="AM15" s="26"/>
      <c r="AN15" s="52"/>
      <c r="AO15" s="59"/>
      <c r="AP15" s="59"/>
      <c r="AQ15" s="59"/>
      <c r="AR15" s="59"/>
      <c r="AS15" s="49" t="s">
        <v>735</v>
      </c>
      <c r="AT15" s="27" t="s">
        <v>730</v>
      </c>
      <c r="AU15" s="49" t="s">
        <v>520</v>
      </c>
      <c r="AV15" s="27" t="s">
        <v>731</v>
      </c>
      <c r="AW15" s="49" t="s">
        <v>521</v>
      </c>
      <c r="AX15" s="27" t="s">
        <v>732</v>
      </c>
      <c r="AY15" s="128" t="str">
        <f>IF(ISNUMBER(IF(Criterios!B14="SI",S15,S15+AK15)),IF(Criterios!B14="SI",S15,S15+AK15)," - ")</f>
        <v xml:space="preserve"> - </v>
      </c>
      <c r="AZ15" s="129" t="str">
        <f>IF(ISNUMBER(IF(Criterios!B14="SI",T15,T15+AL15)),IF(Criterios!B14="SI",T15,T15+AL15)," - ")</f>
        <v xml:space="preserve"> - </v>
      </c>
      <c r="BA15" s="129" t="str">
        <f>IF(ISNUMBER(IF(Criterios!B14="SI",U15,U15+AM15)),IF(Criterios!B14="SI",U15,U15+AM15)," - ")</f>
        <v xml:space="preserve"> - </v>
      </c>
      <c r="BB15" s="129" t="str">
        <f>IF(ISNUMBER(IF(Criterios!B14="SI",V15,V15+AN15)),IF(Criterios!B14="SI",V15,V15+AN15)," - ")</f>
        <v xml:space="preserve"> - </v>
      </c>
      <c r="BC15" s="125" t="str">
        <f t="shared" ref="BC15:BC17" si="7">IF(ISNUMBER(W15),W15," - ")</f>
        <v xml:space="preserve"> - </v>
      </c>
      <c r="BD15" s="100" t="str">
        <f t="shared" ref="BD15:BD17" si="8">IF(ISNUMBER(BA15/AZ15),BA15/AZ15," - ")</f>
        <v xml:space="preserve"> - </v>
      </c>
      <c r="BE15" s="101" t="str">
        <f t="shared" ref="BE15:BE17" si="9">IF(ISNUMBER(BB15/BA15),BB15/BA15, " - ")</f>
        <v xml:space="preserve"> - </v>
      </c>
      <c r="BF15" s="101" t="str">
        <f t="shared" ref="BF15:BF17" si="10">IF(ISNUMBER(BC15/BA15),BC15/BA15, " - ")</f>
        <v xml:space="preserve"> - </v>
      </c>
      <c r="BG15" s="102" t="str">
        <f t="shared" ref="BG15:BG17" si="11">IF(ISNUMBER((AY15+AZ15)/BA15),(AY15+AZ15)/BA15," - ")</f>
        <v xml:space="preserve"> - </v>
      </c>
      <c r="BH15" s="59"/>
      <c r="BI15" s="59"/>
      <c r="BJ15" s="49"/>
      <c r="BK15" s="59"/>
      <c r="BL15" s="59"/>
      <c r="BM15" s="154">
        <v>6650</v>
      </c>
      <c r="BN15" s="154"/>
      <c r="BO15" s="154"/>
      <c r="BP15" s="154"/>
      <c r="BQ15" s="154"/>
      <c r="BR15" s="154"/>
      <c r="BS15" s="154"/>
      <c r="BT15" s="154"/>
      <c r="BU15" s="154"/>
      <c r="BV15" s="154" t="s">
        <v>380</v>
      </c>
      <c r="BW15" s="154" t="s">
        <v>305</v>
      </c>
      <c r="BX15" s="154" t="s">
        <v>306</v>
      </c>
      <c r="BY15" s="213" t="s">
        <v>755</v>
      </c>
      <c r="BZ15" s="213" t="s">
        <v>887</v>
      </c>
      <c r="CA15" s="154"/>
      <c r="CB15" s="154"/>
      <c r="CC15" s="154"/>
      <c r="CD15" s="154"/>
      <c r="CE15" s="154"/>
      <c r="CF15" s="154"/>
      <c r="CG15" s="154"/>
      <c r="CH15" s="154"/>
      <c r="CI15" s="154" t="s">
        <v>489</v>
      </c>
      <c r="CJ15" s="154" t="s">
        <v>397</v>
      </c>
      <c r="CK15" s="154" t="s">
        <v>462</v>
      </c>
      <c r="CL15" s="154" t="s">
        <v>463</v>
      </c>
      <c r="CM15" s="154" t="s">
        <v>464</v>
      </c>
      <c r="CN15" s="154">
        <v>1262</v>
      </c>
      <c r="CO15" s="154">
        <v>6600</v>
      </c>
      <c r="CP15" s="154">
        <v>1262</v>
      </c>
      <c r="CQ15" s="213" t="s">
        <v>517</v>
      </c>
      <c r="CR15" s="213" t="s">
        <v>888</v>
      </c>
      <c r="CS15" s="154" t="s">
        <v>389</v>
      </c>
      <c r="CT15" s="155"/>
      <c r="CU15" s="155"/>
      <c r="CV15" s="155" t="s">
        <v>374</v>
      </c>
      <c r="CW15" s="155" t="s">
        <v>337</v>
      </c>
      <c r="CX15" s="155" t="s">
        <v>159</v>
      </c>
      <c r="CY15" s="155"/>
      <c r="CZ15" s="155"/>
      <c r="DA15" s="155"/>
      <c r="DB15" s="146" t="s">
        <v>768</v>
      </c>
      <c r="DC15" s="146" t="s">
        <v>769</v>
      </c>
      <c r="DD15" s="155"/>
      <c r="DE15" s="155" t="s">
        <v>519</v>
      </c>
      <c r="DF15" s="155" t="s">
        <v>410</v>
      </c>
      <c r="DG15" s="155"/>
      <c r="DH15" s="154" t="s">
        <v>427</v>
      </c>
      <c r="DI15" s="154" t="s">
        <v>428</v>
      </c>
      <c r="DJ15" s="154" t="s">
        <v>429</v>
      </c>
      <c r="DK15" s="154"/>
      <c r="DL15" s="154"/>
      <c r="DM15" s="154"/>
      <c r="DN15" s="154"/>
      <c r="DO15" s="154"/>
      <c r="DP15" s="154"/>
      <c r="DQ15" s="154"/>
      <c r="DR15" s="154"/>
      <c r="DS15" s="154"/>
      <c r="DT15" s="154"/>
      <c r="DU15" s="154" t="s">
        <v>604</v>
      </c>
      <c r="DV15" s="154"/>
      <c r="DW15" s="154"/>
      <c r="DX15" s="154"/>
      <c r="DY15" s="154"/>
      <c r="DZ15" s="154"/>
      <c r="EA15" s="154"/>
      <c r="EB15" s="154" t="s">
        <v>735</v>
      </c>
      <c r="EC15" s="154" t="s">
        <v>612</v>
      </c>
      <c r="ED15" s="154"/>
      <c r="EE15" s="154">
        <v>6000</v>
      </c>
      <c r="EF15" s="154">
        <v>650</v>
      </c>
      <c r="EG15" s="154"/>
      <c r="EH15" s="154"/>
      <c r="EI15" s="154" t="s">
        <v>613</v>
      </c>
      <c r="EJ15" s="154"/>
      <c r="EK15" s="154"/>
      <c r="EL15" s="154"/>
      <c r="EM15" s="154"/>
      <c r="EN15" s="154"/>
      <c r="EO15" s="987" t="s">
        <v>797</v>
      </c>
      <c r="EP15" s="987" t="s">
        <v>799</v>
      </c>
      <c r="EQ15" s="987" t="s">
        <v>805</v>
      </c>
      <c r="ER15" s="1002" t="s">
        <v>758</v>
      </c>
      <c r="ES15" s="997"/>
      <c r="ET15" s="1141"/>
      <c r="EU15" s="1141"/>
      <c r="EV15" s="155" t="s">
        <v>822</v>
      </c>
      <c r="EW15" s="154"/>
      <c r="EX15" s="154"/>
      <c r="EY15" s="154"/>
      <c r="EZ15" s="154"/>
    </row>
    <row r="16" spans="1:156" ht="14.25" customHeight="1">
      <c r="A16" s="20" t="s">
        <v>909</v>
      </c>
      <c r="B16" s="21" t="s">
        <v>402</v>
      </c>
      <c r="C16" s="22" t="s">
        <v>3</v>
      </c>
      <c r="D16" s="23" t="s">
        <v>20</v>
      </c>
      <c r="E16" s="21" t="s">
        <v>20</v>
      </c>
      <c r="F16" s="21">
        <v>31</v>
      </c>
      <c r="G16" s="6"/>
      <c r="H16" s="24"/>
      <c r="I16" s="25" t="s">
        <v>516</v>
      </c>
      <c r="J16" s="26" t="s">
        <v>770</v>
      </c>
      <c r="K16" s="26" t="s">
        <v>776</v>
      </c>
      <c r="L16" s="26" t="s">
        <v>781</v>
      </c>
      <c r="M16" s="26" t="s">
        <v>515</v>
      </c>
      <c r="N16" s="26" t="s">
        <v>150</v>
      </c>
      <c r="O16" s="57" t="s">
        <v>225</v>
      </c>
      <c r="P16" s="26" t="s">
        <v>473</v>
      </c>
      <c r="Q16" s="26" t="s">
        <v>474</v>
      </c>
      <c r="R16" s="26" t="s">
        <v>475</v>
      </c>
      <c r="S16" s="26"/>
      <c r="T16" s="26"/>
      <c r="U16" s="26"/>
      <c r="V16" s="26"/>
      <c r="W16" s="26"/>
      <c r="X16" s="52"/>
      <c r="Y16" s="49"/>
      <c r="Z16" s="26"/>
      <c r="AA16" s="26"/>
      <c r="AB16" s="26"/>
      <c r="AC16" s="26" t="s">
        <v>44</v>
      </c>
      <c r="AD16" s="26" t="s">
        <v>48</v>
      </c>
      <c r="AE16" s="26" t="s">
        <v>49</v>
      </c>
      <c r="AF16" s="52" t="s">
        <v>50</v>
      </c>
      <c r="AG16" s="49"/>
      <c r="AH16" s="26"/>
      <c r="AI16" s="26"/>
      <c r="AJ16" s="27"/>
      <c r="AK16" s="25"/>
      <c r="AL16" s="26"/>
      <c r="AM16" s="26"/>
      <c r="AN16" s="52"/>
      <c r="AO16" s="59"/>
      <c r="AP16" s="59"/>
      <c r="AQ16" s="59"/>
      <c r="AR16" s="59"/>
      <c r="AS16" s="49" t="s">
        <v>771</v>
      </c>
      <c r="AT16" s="27"/>
      <c r="AU16" s="49" t="s">
        <v>777</v>
      </c>
      <c r="AV16" s="27"/>
      <c r="AW16" s="49" t="s">
        <v>782</v>
      </c>
      <c r="AX16" s="27"/>
      <c r="AY16" s="126" t="str">
        <f>IF(ISNUMBER(IF(Criterios!B14="SI",S16,S16+AK16)),IF(Criterios!B14="SI",S16,S16+AK16)," - ")</f>
        <v xml:space="preserve"> - </v>
      </c>
      <c r="AZ16" s="127" t="str">
        <f>IF(ISNUMBER(IF(Criterios!B14="SI",T16,T16+AL16)),IF(Criterios!B14="SI",T16,T16+AL16)," - ")</f>
        <v xml:space="preserve"> - </v>
      </c>
      <c r="BA16" s="127" t="str">
        <f>IF(ISNUMBER(IF(Criterios!B14="SI",U16,U16+AM16)),IF(Criterios!B14="SI",U16,U16+AM16)," - ")</f>
        <v xml:space="preserve"> - </v>
      </c>
      <c r="BB16" s="127" t="str">
        <f>IF(ISNUMBER(IF(Criterios!B14="SI",V16,V16+AN16)),IF(Criterios!B14="SI",V16,V16+AN16)," - ")</f>
        <v xml:space="preserve"> - </v>
      </c>
      <c r="BC16" s="125" t="str">
        <f t="shared" si="7"/>
        <v xml:space="preserve"> - </v>
      </c>
      <c r="BD16" s="100" t="str">
        <f t="shared" si="8"/>
        <v xml:space="preserve"> - </v>
      </c>
      <c r="BE16" s="101" t="str">
        <f t="shared" si="9"/>
        <v xml:space="preserve"> - </v>
      </c>
      <c r="BF16" s="101" t="str">
        <f t="shared" si="10"/>
        <v xml:space="preserve"> - </v>
      </c>
      <c r="BG16" s="102" t="str">
        <f t="shared" si="11"/>
        <v xml:space="preserve"> - </v>
      </c>
      <c r="BH16" s="59"/>
      <c r="BI16" s="59"/>
      <c r="BJ16" s="49"/>
      <c r="BK16" s="59"/>
      <c r="BL16" s="59"/>
      <c r="BM16" s="156">
        <v>2500</v>
      </c>
      <c r="BN16" s="154"/>
      <c r="BO16" s="154"/>
      <c r="BP16" s="154"/>
      <c r="BQ16" s="154"/>
      <c r="BR16" s="154"/>
      <c r="BS16" s="154"/>
      <c r="BT16" s="153"/>
      <c r="BU16" s="153"/>
      <c r="BV16" s="154" t="s">
        <v>380</v>
      </c>
      <c r="BW16" s="154" t="s">
        <v>378</v>
      </c>
      <c r="BX16" s="154" t="s">
        <v>379</v>
      </c>
      <c r="BY16" s="172" t="s">
        <v>523</v>
      </c>
      <c r="BZ16" s="156"/>
      <c r="CA16" s="156"/>
      <c r="CB16" s="156"/>
      <c r="CC16" s="156"/>
      <c r="CD16" s="156"/>
      <c r="CE16" s="156"/>
      <c r="CF16" s="156"/>
      <c r="CG16" s="156"/>
      <c r="CH16" s="156"/>
      <c r="CI16" s="156" t="s">
        <v>489</v>
      </c>
      <c r="CJ16" s="156" t="s">
        <v>397</v>
      </c>
      <c r="CK16" s="154" t="s">
        <v>462</v>
      </c>
      <c r="CL16" s="154" t="s">
        <v>463</v>
      </c>
      <c r="CM16" s="154" t="s">
        <v>464</v>
      </c>
      <c r="CN16" s="288" t="s">
        <v>332</v>
      </c>
      <c r="CO16" s="156">
        <v>2880</v>
      </c>
      <c r="CP16" s="213" t="s">
        <v>308</v>
      </c>
      <c r="CQ16" s="213" t="s">
        <v>517</v>
      </c>
      <c r="CR16" s="213"/>
      <c r="CS16" s="154" t="s">
        <v>389</v>
      </c>
      <c r="CT16" s="155"/>
      <c r="CU16" s="155"/>
      <c r="CV16" s="155" t="s">
        <v>374</v>
      </c>
      <c r="CW16" s="155" t="s">
        <v>337</v>
      </c>
      <c r="CX16" s="155" t="s">
        <v>159</v>
      </c>
      <c r="CY16" s="155"/>
      <c r="CZ16" s="155"/>
      <c r="DA16" s="155"/>
      <c r="DB16" s="146" t="s">
        <v>772</v>
      </c>
      <c r="DC16" s="146" t="s">
        <v>773</v>
      </c>
      <c r="DD16" s="155"/>
      <c r="DE16" s="155" t="s">
        <v>519</v>
      </c>
      <c r="DF16" s="155" t="s">
        <v>410</v>
      </c>
      <c r="DG16" s="155"/>
      <c r="DH16" s="154" t="s">
        <v>427</v>
      </c>
      <c r="DI16" s="154" t="s">
        <v>428</v>
      </c>
      <c r="DJ16" s="154" t="s">
        <v>429</v>
      </c>
      <c r="DK16" s="154"/>
      <c r="DL16" s="154"/>
      <c r="DM16" s="154"/>
      <c r="DN16" s="154"/>
      <c r="DO16" s="154"/>
      <c r="DP16" s="154"/>
      <c r="DQ16" s="154"/>
      <c r="DR16" s="154"/>
      <c r="DS16" s="154"/>
      <c r="DT16" s="154"/>
      <c r="DU16" s="154" t="s">
        <v>604</v>
      </c>
      <c r="DV16" s="154"/>
      <c r="DW16" s="154"/>
      <c r="DX16" s="154"/>
      <c r="DY16" s="154"/>
      <c r="DZ16" s="154"/>
      <c r="EA16" s="154"/>
      <c r="EB16" s="154"/>
      <c r="EC16" s="154"/>
      <c r="ED16" s="154"/>
      <c r="EE16" s="154"/>
      <c r="EF16" s="154"/>
      <c r="EG16" s="154"/>
      <c r="EH16" s="154"/>
      <c r="EI16" s="154" t="s">
        <v>613</v>
      </c>
      <c r="EJ16" s="154"/>
      <c r="EK16" s="154"/>
      <c r="EL16" s="154"/>
      <c r="EM16" s="154"/>
      <c r="EN16" s="154"/>
      <c r="EO16" s="987" t="s">
        <v>774</v>
      </c>
      <c r="EP16" s="987" t="s">
        <v>778</v>
      </c>
      <c r="EQ16" s="987" t="s">
        <v>783</v>
      </c>
      <c r="ER16" s="1001">
        <v>1000</v>
      </c>
      <c r="ES16" s="997"/>
      <c r="ET16" s="1141"/>
      <c r="EU16" s="1141"/>
      <c r="EV16" s="155" t="s">
        <v>822</v>
      </c>
      <c r="EW16" s="154"/>
      <c r="EX16" s="154"/>
      <c r="EY16" s="154"/>
      <c r="EZ16" s="154"/>
    </row>
    <row r="17" spans="1:156" ht="14.25" customHeight="1">
      <c r="A17" s="20" t="s">
        <v>910</v>
      </c>
      <c r="B17" s="21" t="s">
        <v>402</v>
      </c>
      <c r="C17" s="22" t="s">
        <v>3</v>
      </c>
      <c r="D17" s="23" t="s">
        <v>82</v>
      </c>
      <c r="E17" s="21" t="s">
        <v>82</v>
      </c>
      <c r="F17" s="21" t="s">
        <v>138</v>
      </c>
      <c r="G17" s="6"/>
      <c r="H17" s="24"/>
      <c r="I17" s="25" t="s">
        <v>144</v>
      </c>
      <c r="J17" s="26" t="s">
        <v>816</v>
      </c>
      <c r="K17" s="26" t="s">
        <v>146</v>
      </c>
      <c r="L17" s="26" t="s">
        <v>779</v>
      </c>
      <c r="M17" s="26" t="s">
        <v>514</v>
      </c>
      <c r="N17" s="26" t="s">
        <v>151</v>
      </c>
      <c r="O17" s="26" t="s">
        <v>226</v>
      </c>
      <c r="P17" s="26" t="s">
        <v>467</v>
      </c>
      <c r="Q17" s="26" t="s">
        <v>468</v>
      </c>
      <c r="R17" s="26" t="s">
        <v>469</v>
      </c>
      <c r="S17" s="26"/>
      <c r="T17" s="26"/>
      <c r="U17" s="26"/>
      <c r="V17" s="26"/>
      <c r="W17" s="26"/>
      <c r="X17" s="52"/>
      <c r="Y17" s="49"/>
      <c r="Z17" s="26"/>
      <c r="AA17" s="26"/>
      <c r="AB17" s="26"/>
      <c r="AC17" s="26"/>
      <c r="AD17" s="26"/>
      <c r="AE17" s="26"/>
      <c r="AF17" s="52"/>
      <c r="AG17" s="49"/>
      <c r="AH17" s="26"/>
      <c r="AI17" s="26"/>
      <c r="AJ17" s="27"/>
      <c r="AK17" s="25"/>
      <c r="AL17" s="26"/>
      <c r="AM17" s="26"/>
      <c r="AN17" s="52"/>
      <c r="AO17" s="59"/>
      <c r="AP17" s="59"/>
      <c r="AQ17" s="64"/>
      <c r="AR17" s="59"/>
      <c r="AS17" s="147" t="s">
        <v>524</v>
      </c>
      <c r="AT17" s="468" t="s">
        <v>327</v>
      </c>
      <c r="AU17" s="147" t="s">
        <v>328</v>
      </c>
      <c r="AV17" s="468" t="s">
        <v>329</v>
      </c>
      <c r="AW17" s="147" t="s">
        <v>330</v>
      </c>
      <c r="AX17" s="468" t="s">
        <v>331</v>
      </c>
      <c r="AY17" s="128" t="str">
        <f t="shared" ref="AY17:BB17" si="12">IF(ISNUMBER(S17),S17," - ")</f>
        <v xml:space="preserve"> - </v>
      </c>
      <c r="AZ17" s="129" t="str">
        <f t="shared" si="12"/>
        <v xml:space="preserve"> - </v>
      </c>
      <c r="BA17" s="129" t="str">
        <f t="shared" si="12"/>
        <v xml:space="preserve"> - </v>
      </c>
      <c r="BB17" s="129" t="str">
        <f t="shared" si="12"/>
        <v xml:space="preserve"> - </v>
      </c>
      <c r="BC17" s="125" t="str">
        <f t="shared" si="7"/>
        <v xml:space="preserve"> - </v>
      </c>
      <c r="BD17" s="100" t="str">
        <f t="shared" si="8"/>
        <v xml:space="preserve"> - </v>
      </c>
      <c r="BE17" s="101" t="str">
        <f t="shared" si="9"/>
        <v xml:space="preserve"> - </v>
      </c>
      <c r="BF17" s="101" t="str">
        <f t="shared" si="10"/>
        <v xml:space="preserve"> - </v>
      </c>
      <c r="BG17" s="102" t="str">
        <f t="shared" si="11"/>
        <v xml:space="preserve"> - </v>
      </c>
      <c r="BH17" s="59"/>
      <c r="BI17" s="59"/>
      <c r="BJ17" s="147"/>
      <c r="BK17" s="64"/>
      <c r="BL17" s="64"/>
      <c r="BM17" s="153">
        <v>1800</v>
      </c>
      <c r="BN17" s="153"/>
      <c r="BO17" s="153"/>
      <c r="BP17" s="153"/>
      <c r="BQ17" s="153"/>
      <c r="BR17" s="153"/>
      <c r="BS17" s="153"/>
      <c r="BT17" s="153"/>
      <c r="BU17" s="153"/>
      <c r="BV17" s="153" t="s">
        <v>309</v>
      </c>
      <c r="BW17" s="153" t="s">
        <v>311</v>
      </c>
      <c r="BX17" s="153" t="s">
        <v>312</v>
      </c>
      <c r="BY17" s="172" t="s">
        <v>724</v>
      </c>
      <c r="BZ17" s="173" t="s">
        <v>734</v>
      </c>
      <c r="CA17" s="153"/>
      <c r="CB17" s="153"/>
      <c r="CC17" s="153"/>
      <c r="CD17" s="153"/>
      <c r="CE17" s="153"/>
      <c r="CF17" s="153"/>
      <c r="CG17" s="153"/>
      <c r="CH17" s="153"/>
      <c r="CI17" s="153" t="s">
        <v>507</v>
      </c>
      <c r="CJ17" s="153" t="s">
        <v>299</v>
      </c>
      <c r="CK17" s="153" t="s">
        <v>465</v>
      </c>
      <c r="CL17" s="153" t="s">
        <v>466</v>
      </c>
      <c r="CM17" s="153" t="s">
        <v>466</v>
      </c>
      <c r="CN17" s="153">
        <v>1175</v>
      </c>
      <c r="CO17" s="153">
        <v>1800</v>
      </c>
      <c r="CP17" s="288" t="s">
        <v>417</v>
      </c>
      <c r="CQ17" s="153" t="s">
        <v>733</v>
      </c>
      <c r="CR17" s="153"/>
      <c r="CS17" s="153" t="s">
        <v>617</v>
      </c>
      <c r="CT17" s="155"/>
      <c r="CU17" s="155"/>
      <c r="CV17" s="155" t="s">
        <v>314</v>
      </c>
      <c r="CW17" s="155" t="s">
        <v>338</v>
      </c>
      <c r="CX17" s="155" t="s">
        <v>341</v>
      </c>
      <c r="CY17" s="155"/>
      <c r="CZ17" s="155"/>
      <c r="DA17" s="155"/>
      <c r="DB17" s="319" t="s">
        <v>766</v>
      </c>
      <c r="DC17" s="325"/>
      <c r="DD17" s="155"/>
      <c r="DE17" s="326" t="s">
        <v>518</v>
      </c>
      <c r="DF17" s="326" t="s">
        <v>145</v>
      </c>
      <c r="DG17" s="155"/>
      <c r="DH17" s="153" t="s">
        <v>435</v>
      </c>
      <c r="DI17" s="153" t="s">
        <v>433</v>
      </c>
      <c r="DJ17" s="153" t="s">
        <v>434</v>
      </c>
      <c r="DK17" s="153"/>
      <c r="DL17" s="153"/>
      <c r="DM17" s="154"/>
      <c r="DN17" s="154"/>
      <c r="DO17" s="154"/>
      <c r="DP17" s="154"/>
      <c r="DQ17" s="154"/>
      <c r="DR17" s="154"/>
      <c r="DS17" s="154"/>
      <c r="DT17" s="154"/>
      <c r="DU17" s="154" t="s">
        <v>605</v>
      </c>
      <c r="DV17" s="154"/>
      <c r="DW17" s="154"/>
      <c r="DX17" s="154"/>
      <c r="DY17" s="154"/>
      <c r="DZ17" s="154"/>
      <c r="EA17" s="154"/>
      <c r="EB17" s="154" t="s">
        <v>611</v>
      </c>
      <c r="EC17" s="154" t="s">
        <v>614</v>
      </c>
      <c r="ED17" s="154"/>
      <c r="EE17" s="154">
        <v>1200</v>
      </c>
      <c r="EF17" s="154">
        <v>600</v>
      </c>
      <c r="EG17" s="154"/>
      <c r="EH17" s="154"/>
      <c r="EI17" s="154" t="s">
        <v>616</v>
      </c>
      <c r="EJ17" s="154"/>
      <c r="EK17" s="154"/>
      <c r="EL17" s="154"/>
      <c r="EM17" s="154"/>
      <c r="EN17" s="154"/>
      <c r="EO17" s="319" t="s">
        <v>766</v>
      </c>
      <c r="EP17" s="319" t="s">
        <v>146</v>
      </c>
      <c r="EQ17" s="319" t="s">
        <v>779</v>
      </c>
      <c r="ER17" s="1000">
        <v>1600</v>
      </c>
      <c r="ES17" s="338"/>
      <c r="ET17" s="1141"/>
      <c r="EU17" s="1141"/>
      <c r="EV17" s="155" t="s">
        <v>825</v>
      </c>
      <c r="EW17" s="154"/>
      <c r="EX17" s="154"/>
      <c r="EY17" s="154"/>
      <c r="EZ17" s="154"/>
    </row>
    <row r="18" spans="1:156" ht="14.25" customHeight="1" thickBot="1">
      <c r="A18" s="74" t="s">
        <v>0</v>
      </c>
      <c r="B18" s="75" t="s">
        <v>402</v>
      </c>
      <c r="C18" s="76" t="s">
        <v>4</v>
      </c>
      <c r="D18" s="77"/>
      <c r="E18" s="78"/>
      <c r="F18" s="78"/>
      <c r="G18" s="79"/>
      <c r="H18" s="80"/>
      <c r="I18" s="106">
        <f t="shared" ref="I18:N18" si="13">SUBTOTAL(9,I15:I17)</f>
        <v>0</v>
      </c>
      <c r="J18" s="106">
        <f t="shared" si="13"/>
        <v>0</v>
      </c>
      <c r="K18" s="106">
        <f t="shared" si="13"/>
        <v>0</v>
      </c>
      <c r="L18" s="106">
        <f t="shared" si="13"/>
        <v>0</v>
      </c>
      <c r="M18" s="106">
        <f t="shared" si="13"/>
        <v>0</v>
      </c>
      <c r="N18" s="106">
        <f t="shared" si="13"/>
        <v>0</v>
      </c>
      <c r="O18" s="106"/>
      <c r="P18" s="106">
        <f t="shared" ref="P18:AO18" si="14">SUBTOTAL(9,P15:P17)</f>
        <v>0</v>
      </c>
      <c r="Q18" s="106">
        <f t="shared" si="14"/>
        <v>0</v>
      </c>
      <c r="R18" s="106">
        <f t="shared" si="14"/>
        <v>0</v>
      </c>
      <c r="S18" s="106">
        <f t="shared" si="14"/>
        <v>0</v>
      </c>
      <c r="T18" s="106">
        <f t="shared" si="14"/>
        <v>0</v>
      </c>
      <c r="U18" s="106">
        <f t="shared" si="14"/>
        <v>0</v>
      </c>
      <c r="V18" s="106">
        <f t="shared" si="14"/>
        <v>0</v>
      </c>
      <c r="W18" s="106">
        <f t="shared" si="14"/>
        <v>0</v>
      </c>
      <c r="X18" s="106">
        <f t="shared" si="14"/>
        <v>0</v>
      </c>
      <c r="Y18" s="107">
        <f t="shared" si="14"/>
        <v>0</v>
      </c>
      <c r="Z18" s="106">
        <f t="shared" si="14"/>
        <v>0</v>
      </c>
      <c r="AA18" s="106">
        <f t="shared" si="14"/>
        <v>0</v>
      </c>
      <c r="AB18" s="106">
        <f t="shared" si="14"/>
        <v>0</v>
      </c>
      <c r="AC18" s="106">
        <f t="shared" si="14"/>
        <v>0</v>
      </c>
      <c r="AD18" s="106">
        <f t="shared" si="14"/>
        <v>0</v>
      </c>
      <c r="AE18" s="106">
        <f t="shared" si="14"/>
        <v>0</v>
      </c>
      <c r="AF18" s="106">
        <f t="shared" si="14"/>
        <v>0</v>
      </c>
      <c r="AG18" s="107">
        <f t="shared" si="14"/>
        <v>0</v>
      </c>
      <c r="AH18" s="106">
        <f t="shared" si="14"/>
        <v>0</v>
      </c>
      <c r="AI18" s="106">
        <f t="shared" si="14"/>
        <v>0</v>
      </c>
      <c r="AJ18" s="108">
        <f t="shared" si="14"/>
        <v>0</v>
      </c>
      <c r="AK18" s="81">
        <f t="shared" si="14"/>
        <v>0</v>
      </c>
      <c r="AL18" s="106">
        <f t="shared" si="14"/>
        <v>0</v>
      </c>
      <c r="AM18" s="106">
        <f t="shared" si="14"/>
        <v>0</v>
      </c>
      <c r="AN18" s="110">
        <f t="shared" si="14"/>
        <v>0</v>
      </c>
      <c r="AO18" s="109">
        <f t="shared" si="14"/>
        <v>0</v>
      </c>
      <c r="AP18" s="139" t="e">
        <f>SUBTOTAL(9,AP15:AP17)-#REF!</f>
        <v>#REF!</v>
      </c>
      <c r="AQ18" s="109">
        <f>SUBTOTAL(9,AQ15:AQ17)</f>
        <v>0</v>
      </c>
      <c r="AR18" s="139" t="e">
        <f>SUBTOTAL(9,AR15:AR17)-#REF!</f>
        <v>#REF!</v>
      </c>
      <c r="AS18" s="139">
        <f t="shared" ref="AS18:BC18" si="15">SUBTOTAL(9,AS15:AS17)</f>
        <v>0</v>
      </c>
      <c r="AT18" s="139">
        <f t="shared" si="15"/>
        <v>0</v>
      </c>
      <c r="AU18" s="139">
        <f t="shared" si="15"/>
        <v>0</v>
      </c>
      <c r="AV18" s="139">
        <f t="shared" si="15"/>
        <v>0</v>
      </c>
      <c r="AW18" s="139">
        <f t="shared" si="15"/>
        <v>0</v>
      </c>
      <c r="AX18" s="139">
        <f t="shared" si="15"/>
        <v>0</v>
      </c>
      <c r="AY18" s="130">
        <f t="shared" si="15"/>
        <v>0</v>
      </c>
      <c r="AZ18" s="131">
        <f t="shared" si="15"/>
        <v>0</v>
      </c>
      <c r="BA18" s="131">
        <f t="shared" si="15"/>
        <v>0</v>
      </c>
      <c r="BB18" s="131">
        <f t="shared" si="15"/>
        <v>0</v>
      </c>
      <c r="BC18" s="132">
        <f t="shared" si="15"/>
        <v>0</v>
      </c>
      <c r="BD18" s="111" t="str">
        <f>IF(ISNUMBER(BA18/AZ18),BA18/AZ18," - ")</f>
        <v xml:space="preserve"> - </v>
      </c>
      <c r="BE18" s="112" t="str">
        <f>IF(ISNUMBER(BB18/BA18),BB18/BA18, " - ")</f>
        <v xml:space="preserve"> - </v>
      </c>
      <c r="BF18" s="112" t="str">
        <f>IF(ISNUMBER(BC18/BA18),BC18/BA18, " - ")</f>
        <v xml:space="preserve"> - </v>
      </c>
      <c r="BG18" s="113" t="str">
        <f>IF(ISNUMBER((AY18+AZ18)/BA18),(AY18+AZ18)/BA18," - ")</f>
        <v xml:space="preserve"> - </v>
      </c>
      <c r="BH18" s="139" t="e">
        <f>SUBTOTAL(9,BH15:BH17)-#REF!</f>
        <v>#REF!</v>
      </c>
      <c r="BI18" s="139" t="e">
        <f>SUBTOTAL(9,BI15:BI17)-#REF!</f>
        <v>#REF!</v>
      </c>
      <c r="BJ18" s="107"/>
      <c r="BK18" s="109">
        <f>SUBTOTAL(9,BK15:BK17)</f>
        <v>0</v>
      </c>
      <c r="BL18" s="109"/>
      <c r="BM18" s="150">
        <f>SUBTOTAL(9,BM15:BM17)</f>
        <v>10950</v>
      </c>
      <c r="BN18" s="150"/>
      <c r="BO18" s="150"/>
      <c r="BP18" s="150"/>
      <c r="BQ18" s="150"/>
      <c r="BR18" s="150"/>
      <c r="BS18" s="150"/>
      <c r="BT18" s="150"/>
      <c r="BU18" s="150"/>
      <c r="BV18" s="150"/>
      <c r="BW18" s="150"/>
      <c r="BX18" s="150"/>
      <c r="BY18" s="150"/>
      <c r="BZ18" s="150"/>
      <c r="CA18" s="150"/>
      <c r="CB18" s="150"/>
      <c r="CC18" s="150"/>
      <c r="CD18" s="150"/>
      <c r="CE18" s="150"/>
      <c r="CF18" s="150"/>
      <c r="CG18" s="150"/>
      <c r="CH18" s="150"/>
      <c r="CI18" s="150"/>
      <c r="CJ18" s="150"/>
      <c r="CK18" s="150"/>
      <c r="CL18" s="150"/>
      <c r="CM18" s="150"/>
      <c r="CN18" s="150"/>
      <c r="CO18" s="150"/>
      <c r="CP18" s="150"/>
      <c r="CQ18" s="150"/>
      <c r="CR18" s="150"/>
      <c r="CS18" s="150"/>
      <c r="CT18" s="150"/>
      <c r="CU18" s="150"/>
      <c r="CV18" s="150"/>
      <c r="CW18" s="150"/>
      <c r="CX18" s="150"/>
      <c r="CY18" s="150"/>
      <c r="CZ18" s="150"/>
      <c r="DA18" s="150"/>
      <c r="DB18" s="321"/>
      <c r="DC18" s="322"/>
      <c r="DD18" s="323"/>
      <c r="DE18" s="323"/>
      <c r="DF18" s="150"/>
      <c r="DG18" s="150"/>
      <c r="DH18" s="150"/>
      <c r="DI18" s="150"/>
      <c r="DJ18" s="150"/>
      <c r="DK18" s="150"/>
      <c r="DL18" s="150"/>
      <c r="DM18" s="150"/>
      <c r="DN18" s="150"/>
      <c r="DO18" s="150"/>
      <c r="DP18" s="150"/>
      <c r="DQ18" s="150"/>
      <c r="DR18" s="150"/>
      <c r="DS18" s="150"/>
      <c r="DT18" s="150"/>
      <c r="DU18" s="150"/>
      <c r="DV18" s="150"/>
      <c r="DW18" s="150"/>
      <c r="DX18" s="150"/>
      <c r="DY18" s="150"/>
      <c r="DZ18" s="150"/>
      <c r="EA18" s="150"/>
      <c r="EB18" s="150"/>
      <c r="EC18" s="150"/>
      <c r="ED18" s="150"/>
      <c r="EE18" s="150"/>
      <c r="EF18" s="150"/>
      <c r="EG18" s="150"/>
      <c r="EH18" s="150"/>
      <c r="EI18" s="150"/>
      <c r="EJ18" s="150"/>
      <c r="EK18" s="150"/>
      <c r="EL18" s="150"/>
      <c r="EM18" s="150"/>
      <c r="EN18" s="150"/>
      <c r="EO18" s="321"/>
      <c r="EP18" s="321"/>
      <c r="EQ18" s="321"/>
      <c r="ER18" s="150">
        <f>AVERAGE(ER15:ER17)</f>
        <v>1300</v>
      </c>
      <c r="ES18" s="637"/>
      <c r="ET18" s="139"/>
      <c r="EU18" s="1143"/>
      <c r="EV18" s="150">
        <f>SUBTOTAL(9,EV15:EV17)</f>
        <v>0</v>
      </c>
      <c r="EW18" s="150">
        <f>SUBTOTAL(9,EW15:EW17)</f>
        <v>0</v>
      </c>
      <c r="EX18" s="150">
        <f>SUBTOTAL(9,EX15:EX17)</f>
        <v>0</v>
      </c>
      <c r="EY18" s="150">
        <f>SUBTOTAL(9,EY15:EY17)</f>
        <v>0</v>
      </c>
      <c r="EZ18" s="150"/>
    </row>
    <row r="19" spans="1:156" ht="14.25" customHeight="1" thickBot="1">
      <c r="A19" s="89" t="s">
        <v>1</v>
      </c>
      <c r="B19" s="90"/>
      <c r="C19" s="91" t="s">
        <v>25</v>
      </c>
      <c r="D19" s="92"/>
      <c r="E19" s="90"/>
      <c r="F19" s="90"/>
      <c r="G19" s="93"/>
      <c r="H19" s="94"/>
      <c r="I19" s="114">
        <f t="shared" ref="I19:N19" si="16">SUBTOTAL(9,I9:I18)</f>
        <v>0</v>
      </c>
      <c r="J19" s="114">
        <f t="shared" si="16"/>
        <v>0</v>
      </c>
      <c r="K19" s="114">
        <f t="shared" si="16"/>
        <v>0</v>
      </c>
      <c r="L19" s="114">
        <f t="shared" si="16"/>
        <v>0</v>
      </c>
      <c r="M19" s="114">
        <f t="shared" si="16"/>
        <v>0</v>
      </c>
      <c r="N19" s="114">
        <f t="shared" si="16"/>
        <v>0</v>
      </c>
      <c r="O19" s="114"/>
      <c r="P19" s="114">
        <f t="shared" ref="P19:AR19" si="17">SUBTOTAL(9,P9:P18)</f>
        <v>0</v>
      </c>
      <c r="Q19" s="114">
        <f t="shared" si="17"/>
        <v>0</v>
      </c>
      <c r="R19" s="114">
        <f t="shared" si="17"/>
        <v>0</v>
      </c>
      <c r="S19" s="114">
        <f t="shared" si="17"/>
        <v>0</v>
      </c>
      <c r="T19" s="114">
        <f t="shared" si="17"/>
        <v>0</v>
      </c>
      <c r="U19" s="114">
        <f t="shared" si="17"/>
        <v>0</v>
      </c>
      <c r="V19" s="114">
        <f t="shared" si="17"/>
        <v>0</v>
      </c>
      <c r="W19" s="114">
        <f t="shared" si="17"/>
        <v>0</v>
      </c>
      <c r="X19" s="114">
        <f t="shared" si="17"/>
        <v>0</v>
      </c>
      <c r="Y19" s="114">
        <f t="shared" si="17"/>
        <v>0</v>
      </c>
      <c r="Z19" s="114">
        <f t="shared" si="17"/>
        <v>0</v>
      </c>
      <c r="AA19" s="114">
        <f t="shared" si="17"/>
        <v>0</v>
      </c>
      <c r="AB19" s="114">
        <f t="shared" si="17"/>
        <v>0</v>
      </c>
      <c r="AC19" s="114">
        <f t="shared" si="17"/>
        <v>0</v>
      </c>
      <c r="AD19" s="114">
        <f t="shared" si="17"/>
        <v>0</v>
      </c>
      <c r="AE19" s="114">
        <f t="shared" si="17"/>
        <v>0</v>
      </c>
      <c r="AF19" s="114">
        <f t="shared" si="17"/>
        <v>0</v>
      </c>
      <c r="AG19" s="114">
        <f t="shared" si="17"/>
        <v>0</v>
      </c>
      <c r="AH19" s="114">
        <f t="shared" si="17"/>
        <v>0</v>
      </c>
      <c r="AI19" s="114">
        <f t="shared" si="17"/>
        <v>0</v>
      </c>
      <c r="AJ19" s="114">
        <f t="shared" si="17"/>
        <v>0</v>
      </c>
      <c r="AK19" s="114">
        <f t="shared" si="17"/>
        <v>0</v>
      </c>
      <c r="AL19" s="114">
        <f t="shared" si="17"/>
        <v>0</v>
      </c>
      <c r="AM19" s="114">
        <f t="shared" si="17"/>
        <v>0</v>
      </c>
      <c r="AN19" s="115">
        <f t="shared" si="17"/>
        <v>0</v>
      </c>
      <c r="AO19" s="116">
        <f t="shared" si="17"/>
        <v>0</v>
      </c>
      <c r="AP19" s="116">
        <f t="shared" si="17"/>
        <v>0</v>
      </c>
      <c r="AQ19" s="116">
        <f t="shared" si="17"/>
        <v>0</v>
      </c>
      <c r="AR19" s="116">
        <f t="shared" si="17"/>
        <v>0</v>
      </c>
      <c r="AS19" s="327"/>
      <c r="AT19" s="211"/>
      <c r="AU19" s="327"/>
      <c r="AV19" s="211"/>
      <c r="AW19" s="210"/>
      <c r="AX19" s="211"/>
      <c r="AY19" s="133">
        <f>SUBTOTAL(9,AY9:AY18)</f>
        <v>0</v>
      </c>
      <c r="AZ19" s="134">
        <f>SUBTOTAL(9,AZ9:AZ18)</f>
        <v>0</v>
      </c>
      <c r="BA19" s="134">
        <f>SUBTOTAL(9,BA9:BA18)</f>
        <v>0</v>
      </c>
      <c r="BB19" s="134">
        <f>SUBTOTAL(9,BB9:BB18)</f>
        <v>0</v>
      </c>
      <c r="BC19" s="135">
        <f>SUBTOTAL(9,BC9:BC18)</f>
        <v>0</v>
      </c>
      <c r="BD19" s="117" t="str">
        <f>IF(ISNUMBER(BA19/AZ19),BA19/AZ19," - ")</f>
        <v xml:space="preserve"> - </v>
      </c>
      <c r="BE19" s="118" t="str">
        <f>IF(ISNUMBER(BB19/BA19),BB19/BA19, " - ")</f>
        <v xml:space="preserve"> - </v>
      </c>
      <c r="BF19" s="118" t="str">
        <f>IF(ISNUMBER(BC19/BA19),BC19/BA19, " - ")</f>
        <v xml:space="preserve"> - </v>
      </c>
      <c r="BG19" s="119" t="str">
        <f>IF(ISNUMBER((AY19+AZ19)/BA19),(AY19+AZ19)/BA19," - ")</f>
        <v xml:space="preserve"> - </v>
      </c>
      <c r="BH19" s="116">
        <f>SUBTOTAL(9,BH9:BH18)</f>
        <v>0</v>
      </c>
      <c r="BI19" s="116">
        <f>SUBTOTAL(9,BI9:BI18)</f>
        <v>0</v>
      </c>
      <c r="BJ19" s="116"/>
      <c r="BK19" s="116">
        <f>SUBTOTAL(9,BK9:BK18)</f>
        <v>0</v>
      </c>
      <c r="BL19" s="116"/>
      <c r="BM19" s="152">
        <f>SUBTOTAL(9,BM9:BM18)</f>
        <v>13050</v>
      </c>
      <c r="BN19" s="152"/>
      <c r="BO19" s="152"/>
      <c r="BP19" s="152"/>
      <c r="BQ19" s="152"/>
      <c r="BR19" s="152"/>
      <c r="BS19" s="152"/>
      <c r="BT19" s="152"/>
      <c r="BU19" s="152"/>
      <c r="BV19" s="152"/>
      <c r="BW19" s="152"/>
      <c r="BX19" s="152"/>
      <c r="BY19" s="152"/>
      <c r="BZ19" s="152"/>
      <c r="CA19" s="152"/>
      <c r="CB19" s="152"/>
      <c r="CC19" s="152"/>
      <c r="CD19" s="152"/>
      <c r="CE19" s="152"/>
      <c r="CF19" s="152"/>
      <c r="CG19" s="152"/>
      <c r="CH19" s="152"/>
      <c r="CI19" s="152"/>
      <c r="CJ19" s="152"/>
      <c r="CK19" s="152"/>
      <c r="CL19" s="152"/>
      <c r="CM19" s="152"/>
      <c r="CN19" s="152"/>
      <c r="CO19" s="152"/>
      <c r="CP19" s="152"/>
      <c r="CQ19" s="152"/>
      <c r="CR19" s="152"/>
      <c r="CS19" s="152"/>
      <c r="CT19" s="152"/>
      <c r="CU19" s="152"/>
      <c r="CV19" s="152"/>
      <c r="CW19" s="152"/>
      <c r="CX19" s="152"/>
      <c r="CY19" s="152"/>
      <c r="CZ19" s="152"/>
      <c r="DA19" s="152"/>
      <c r="DB19" s="327"/>
      <c r="DC19" s="328"/>
      <c r="DD19" s="327"/>
      <c r="DE19" s="327"/>
      <c r="DF19" s="152"/>
      <c r="DG19" s="152"/>
      <c r="DH19" s="152"/>
      <c r="DI19" s="152"/>
      <c r="DJ19" s="152"/>
      <c r="DK19" s="152"/>
      <c r="DL19" s="152"/>
      <c r="DM19" s="152"/>
      <c r="DN19" s="152"/>
      <c r="DO19" s="152"/>
      <c r="DP19" s="152"/>
      <c r="DQ19" s="152"/>
      <c r="DR19" s="152"/>
      <c r="DS19" s="152"/>
      <c r="DT19" s="152"/>
      <c r="DU19" s="152"/>
      <c r="DV19" s="152"/>
      <c r="DW19" s="152"/>
      <c r="DX19" s="152"/>
      <c r="DY19" s="152"/>
      <c r="DZ19" s="152"/>
      <c r="EA19" s="152"/>
      <c r="EB19" s="152"/>
      <c r="EC19" s="152"/>
      <c r="ED19" s="152"/>
      <c r="EE19" s="152"/>
      <c r="EF19" s="152"/>
      <c r="EG19" s="152"/>
      <c r="EH19" s="152"/>
      <c r="EI19" s="152"/>
      <c r="EJ19" s="152"/>
      <c r="EK19" s="152"/>
      <c r="EL19" s="152"/>
      <c r="EM19" s="152"/>
      <c r="EN19" s="152"/>
      <c r="EO19" s="327"/>
      <c r="EP19" s="327"/>
      <c r="EQ19" s="327"/>
      <c r="ER19" s="150">
        <f>AVERAGE(ER9:ER18)</f>
        <v>1211.6500000000001</v>
      </c>
      <c r="ES19" s="150">
        <f>AVERAGE(ES9:ES18)</f>
        <v>0</v>
      </c>
      <c r="ET19" s="150"/>
      <c r="EU19" s="150"/>
      <c r="EV19" s="150">
        <f>AVERAGE(EV9:EV18)</f>
        <v>0</v>
      </c>
      <c r="EW19" s="152"/>
      <c r="EX19" s="152"/>
      <c r="EY19" s="152"/>
      <c r="EZ19" s="152"/>
    </row>
    <row r="20" spans="1:156" ht="13.5" thickBot="1">
      <c r="E20" s="33"/>
    </row>
    <row r="21" spans="1:156" ht="13.5" thickBot="1">
      <c r="D21" s="34"/>
      <c r="E21" s="35" t="s">
        <v>34</v>
      </c>
      <c r="F21" s="35"/>
      <c r="G21" s="36"/>
      <c r="H21" s="37"/>
    </row>
    <row r="22" spans="1:156" ht="13.5" thickBot="1">
      <c r="D22" s="38" t="s">
        <v>26</v>
      </c>
      <c r="E22" s="39"/>
      <c r="F22" s="39"/>
      <c r="G22" s="40"/>
      <c r="H22" s="41"/>
      <c r="AO22" s="65" t="s">
        <v>99</v>
      </c>
    </row>
    <row r="23" spans="1:156">
      <c r="D23" s="42" t="s">
        <v>27</v>
      </c>
      <c r="H23" s="43"/>
    </row>
    <row r="24" spans="1:156">
      <c r="D24" s="42" t="s">
        <v>28</v>
      </c>
      <c r="H24" s="43"/>
    </row>
    <row r="25" spans="1:156" ht="13.5" thickBot="1">
      <c r="D25" s="44" t="s">
        <v>29</v>
      </c>
      <c r="E25" s="45"/>
      <c r="F25" s="45"/>
      <c r="G25" s="46"/>
      <c r="H25" s="47"/>
    </row>
    <row r="26" spans="1:156">
      <c r="J26" s="33"/>
    </row>
    <row r="27" spans="1:156">
      <c r="A27" s="33"/>
    </row>
  </sheetData>
  <sheetProtection algorithmName="SHA-512" hashValue="Lqt6Zrb+DhOW3rAZsBcsDLavivOpThQFDbOI6Q5c2WSk1RXq9Eu2zWcB/S1VGMvPPJqUVPKZBBQi3ZZu5A4iuA==" saltValue="HaN0RrJo8X/ZL5GkS+EuKw==" spinCount="100000" sheet="1" objects="1" scenarios="1"/>
  <mergeCells count="124">
    <mergeCell ref="EZ5:EZ7"/>
    <mergeCell ref="EY5:EY7"/>
    <mergeCell ref="EX5:EX7"/>
    <mergeCell ref="EW5:EW7"/>
    <mergeCell ref="A5:A6"/>
    <mergeCell ref="B5:B7"/>
    <mergeCell ref="C5:C7"/>
    <mergeCell ref="P6:R6"/>
    <mergeCell ref="D5:H6"/>
    <mergeCell ref="AX5:AX7"/>
    <mergeCell ref="AS5:AS7"/>
    <mergeCell ref="AV5:AV7"/>
    <mergeCell ref="AW5:AW7"/>
    <mergeCell ref="AQ5:AQ7"/>
    <mergeCell ref="AK6:AN6"/>
    <mergeCell ref="AU5:AU7"/>
    <mergeCell ref="AO5:AO7"/>
    <mergeCell ref="AP5:AP7"/>
    <mergeCell ref="AT5:AT7"/>
    <mergeCell ref="AR5:AR7"/>
    <mergeCell ref="I6:O6"/>
    <mergeCell ref="BM5:BM7"/>
    <mergeCell ref="BP5:BQ5"/>
    <mergeCell ref="BU6:BU7"/>
    <mergeCell ref="BJ5:BJ7"/>
    <mergeCell ref="BS6:BS7"/>
    <mergeCell ref="BL5:BL7"/>
    <mergeCell ref="I5:AN5"/>
    <mergeCell ref="S6:X6"/>
    <mergeCell ref="Y6:AB6"/>
    <mergeCell ref="AC6:AF6"/>
    <mergeCell ref="AG6:AJ6"/>
    <mergeCell ref="AY5:BC6"/>
    <mergeCell ref="BK5:BK7"/>
    <mergeCell ref="BI5:BI7"/>
    <mergeCell ref="BH5:BH7"/>
    <mergeCell ref="BD5:BG6"/>
    <mergeCell ref="BN5:BO5"/>
    <mergeCell ref="BR5:BS5"/>
    <mergeCell ref="BR6:BR7"/>
    <mergeCell ref="BN6:BN7"/>
    <mergeCell ref="BO6:BO7"/>
    <mergeCell ref="BP6:BP7"/>
    <mergeCell ref="BQ6:BQ7"/>
    <mergeCell ref="BT6:BT7"/>
    <mergeCell ref="CE4:CH4"/>
    <mergeCell ref="CE5:CE7"/>
    <mergeCell ref="CH5:CH7"/>
    <mergeCell ref="CG5:CG7"/>
    <mergeCell ref="CF5:CF7"/>
    <mergeCell ref="BT5:BU5"/>
    <mergeCell ref="CB5:CB7"/>
    <mergeCell ref="BV5:BV7"/>
    <mergeCell ref="BX5:BX7"/>
    <mergeCell ref="DX5:DX7"/>
    <mergeCell ref="DB5:DB7"/>
    <mergeCell ref="DC5:DC7"/>
    <mergeCell ref="DD5:DD7"/>
    <mergeCell ref="CU5:CU7"/>
    <mergeCell ref="DA5:DA7"/>
    <mergeCell ref="CW5:CW7"/>
    <mergeCell ref="CX5:CX7"/>
    <mergeCell ref="CO5:CO7"/>
    <mergeCell ref="CS5:CS7"/>
    <mergeCell ref="CV5:CV7"/>
    <mergeCell ref="CT5:CT7"/>
    <mergeCell ref="DI5:DI7"/>
    <mergeCell ref="DE5:DE7"/>
    <mergeCell ref="CQ5:CQ7"/>
    <mergeCell ref="DP5:DP7"/>
    <mergeCell ref="DQ5:DQ7"/>
    <mergeCell ref="DR5:DR7"/>
    <mergeCell ref="DS5:DS7"/>
    <mergeCell ref="DT5:DT7"/>
    <mergeCell ref="DU5:DU7"/>
    <mergeCell ref="DV5:DV7"/>
    <mergeCell ref="CK5:CK7"/>
    <mergeCell ref="CP5:CP7"/>
    <mergeCell ref="CL5:CL7"/>
    <mergeCell ref="DW5:DW7"/>
    <mergeCell ref="BW5:BW7"/>
    <mergeCell ref="CC5:CC7"/>
    <mergeCell ref="BY5:BY7"/>
    <mergeCell ref="EO5:EO7"/>
    <mergeCell ref="EL5:EN6"/>
    <mergeCell ref="DY5:DY7"/>
    <mergeCell ref="DZ5:DZ7"/>
    <mergeCell ref="CI5:CI7"/>
    <mergeCell ref="CJ5:CJ7"/>
    <mergeCell ref="CR5:CR7"/>
    <mergeCell ref="CM5:CM7"/>
    <mergeCell ref="BZ5:BZ7"/>
    <mergeCell ref="CD5:CD7"/>
    <mergeCell ref="CA5:CA7"/>
    <mergeCell ref="EA5:EA7"/>
    <mergeCell ref="EK5:EK7"/>
    <mergeCell ref="EH5:EH7"/>
    <mergeCell ref="EI5:EI7"/>
    <mergeCell ref="EJ5:EJ7"/>
    <mergeCell ref="EG5:EG7"/>
    <mergeCell ref="EF5:EF7"/>
    <mergeCell ref="DK5:DK7"/>
    <mergeCell ref="DL5:DL7"/>
    <mergeCell ref="CZ5:CZ7"/>
    <mergeCell ref="CN5:CN7"/>
    <mergeCell ref="DG5:DG7"/>
    <mergeCell ref="CY5:CY7"/>
    <mergeCell ref="EV5:EV7"/>
    <mergeCell ref="ET5:ET7"/>
    <mergeCell ref="EU5:EU7"/>
    <mergeCell ref="EP5:EP7"/>
    <mergeCell ref="DF5:DF7"/>
    <mergeCell ref="DH5:DH7"/>
    <mergeCell ref="ES5:ES7"/>
    <mergeCell ref="EQ5:EQ7"/>
    <mergeCell ref="ER5:ER7"/>
    <mergeCell ref="EB5:EB7"/>
    <mergeCell ref="EC5:EC7"/>
    <mergeCell ref="ED5:ED7"/>
    <mergeCell ref="EE5:EE7"/>
    <mergeCell ref="DJ5:DJ7"/>
    <mergeCell ref="DM5:DM7"/>
    <mergeCell ref="DN5:DN7"/>
    <mergeCell ref="DO5:DO7"/>
  </mergeCells>
  <phoneticPr fontId="0" type="noConversion"/>
  <conditionalFormatting sqref="I15:R17 CS11:DF11 BK16:CJ16 CO16 CS16:DE16 I9:R9 Y9:AB9 AP10 AR10 Y11:AB12 AO11:AR11 BK11:BU11 BY11:BZ11 CE11:CJ11 I11:R12 AP16:AR16 AO16:AO17 BH16:BI17 AP17 AR17 EO11:EQ11 EV16 BH10:BI11">
    <cfRule type="cellIs" dxfId="439" priority="645" stopIfTrue="1" operator="equal">
      <formula>$A$30</formula>
    </cfRule>
  </conditionalFormatting>
  <conditionalFormatting sqref="I13:BC14 I18:BC18 BH18:EQ18 I19:EQ19 EW19:EZ19">
    <cfRule type="cellIs" dxfId="438" priority="1879" stopIfTrue="1" operator="equal">
      <formula>$A$31</formula>
    </cfRule>
  </conditionalFormatting>
  <conditionalFormatting sqref="I8:EZ8">
    <cfRule type="cellIs" dxfId="437" priority="14" stopIfTrue="1" operator="equal">
      <formula>$A$31</formula>
    </cfRule>
  </conditionalFormatting>
  <conditionalFormatting sqref="CT11:DF12 BK15:CJ15 AP9 AO9:AO10 AQ9:AQ10 BK9:CM10 CS9:DF10 S9:X12 AC9:AN12 BJ9:BJ12 CN9:CR12 Y10:AB10 BV11:BX11 CA11:CD11 CK11:CM12 AO12:AR12 BH12:BI12 CS12 AO15:AR15 CK15:CL16 DH15:DL17 EB15:EG17 CM15:DF17 S15:AN17 BJ15:BJ17 BT16:BX16 AQ17 BK17:BX17 BZ17:CL17 EV15:EV17 DF9:EQ12 ES9:ES12 EV9:EZ12">
    <cfRule type="cellIs" dxfId="436" priority="427" stopIfTrue="1" operator="equal">
      <formula>$A$31</formula>
    </cfRule>
  </conditionalFormatting>
  <conditionalFormatting sqref="AR9:AX9">
    <cfRule type="cellIs" dxfId="435" priority="712" stopIfTrue="1" operator="equal">
      <formula>$A$31</formula>
    </cfRule>
  </conditionalFormatting>
  <conditionalFormatting sqref="AS15:AX17 AS10:AX12">
    <cfRule type="cellIs" dxfId="434" priority="650" stopIfTrue="1" operator="equal">
      <formula>$A$29</formula>
    </cfRule>
  </conditionalFormatting>
  <conditionalFormatting sqref="BD14:BG14">
    <cfRule type="cellIs" dxfId="433" priority="2185" stopIfTrue="1" operator="equal">
      <formula>$A$31</formula>
    </cfRule>
  </conditionalFormatting>
  <conditionalFormatting sqref="BH9:BI9">
    <cfRule type="cellIs" dxfId="432" priority="741" stopIfTrue="1" operator="equal">
      <formula>$A$31</formula>
    </cfRule>
  </conditionalFormatting>
  <conditionalFormatting sqref="BH15:BI15">
    <cfRule type="cellIs" dxfId="431" priority="703" stopIfTrue="1" operator="equal">
      <formula>$A$31</formula>
    </cfRule>
  </conditionalFormatting>
  <conditionalFormatting sqref="BH13:EQ14">
    <cfRule type="cellIs" dxfId="430" priority="287" stopIfTrue="1" operator="equal">
      <formula>$A$31</formula>
    </cfRule>
  </conditionalFormatting>
  <conditionalFormatting sqref="BK12:CJ12">
    <cfRule type="cellIs" dxfId="429" priority="2184" stopIfTrue="1" operator="equal">
      <formula>$A$31</formula>
    </cfRule>
  </conditionalFormatting>
  <conditionalFormatting sqref="BV15">
    <cfRule type="cellIs" dxfId="428" priority="640" stopIfTrue="1" operator="equal">
      <formula>$A$30</formula>
    </cfRule>
  </conditionalFormatting>
  <conditionalFormatting sqref="BY17">
    <cfRule type="cellIs" dxfId="427" priority="636" stopIfTrue="1" operator="equal">
      <formula>$A$30</formula>
    </cfRule>
  </conditionalFormatting>
  <conditionalFormatting sqref="CO11">
    <cfRule type="cellIs" dxfId="426" priority="2186" stopIfTrue="1" operator="equal">
      <formula>$A$30</formula>
    </cfRule>
  </conditionalFormatting>
  <conditionalFormatting sqref="DB15">
    <cfRule type="cellIs" dxfId="425" priority="699" stopIfTrue="1" operator="equal">
      <formula>$A$30</formula>
    </cfRule>
  </conditionalFormatting>
  <conditionalFormatting sqref="DB16:DE16">
    <cfRule type="cellIs" dxfId="424" priority="700" stopIfTrue="1" operator="equal">
      <formula>$A$30</formula>
    </cfRule>
  </conditionalFormatting>
  <conditionalFormatting sqref="DC15:DC16">
    <cfRule type="cellIs" dxfId="423" priority="682" stopIfTrue="1" operator="equal">
      <formula>$A$30</formula>
    </cfRule>
  </conditionalFormatting>
  <conditionalFormatting sqref="DE17">
    <cfRule type="cellIs" dxfId="422" priority="698" stopIfTrue="1" operator="equal">
      <formula>$A$30</formula>
    </cfRule>
  </conditionalFormatting>
  <conditionalFormatting sqref="DF1">
    <cfRule type="cellIs" dxfId="421" priority="2001" stopIfTrue="1" operator="equal">
      <formula>$A$31</formula>
    </cfRule>
  </conditionalFormatting>
  <conditionalFormatting sqref="DF16:DF17">
    <cfRule type="cellIs" dxfId="420" priority="685" stopIfTrue="1" operator="equal">
      <formula>$A$30</formula>
    </cfRule>
  </conditionalFormatting>
  <conditionalFormatting sqref="DG11">
    <cfRule type="cellIs" dxfId="419" priority="710" stopIfTrue="1" operator="equal">
      <formula>$A$30</formula>
    </cfRule>
  </conditionalFormatting>
  <conditionalFormatting sqref="DG15:DG17">
    <cfRule type="cellIs" dxfId="418" priority="648" stopIfTrue="1" operator="equal">
      <formula>$A$31</formula>
    </cfRule>
  </conditionalFormatting>
  <conditionalFormatting sqref="DG16">
    <cfRule type="cellIs" dxfId="417" priority="649" stopIfTrue="1" operator="equal">
      <formula>$A$30</formula>
    </cfRule>
  </conditionalFormatting>
  <conditionalFormatting sqref="DM15:EA17">
    <cfRule type="cellIs" dxfId="416" priority="485" stopIfTrue="1" operator="equal">
      <formula>$A$31</formula>
    </cfRule>
  </conditionalFormatting>
  <conditionalFormatting sqref="EH15:EK17">
    <cfRule type="cellIs" dxfId="415" priority="539" stopIfTrue="1" operator="equal">
      <formula>$A$31</formula>
    </cfRule>
  </conditionalFormatting>
  <conditionalFormatting sqref="EL15:EN17">
    <cfRule type="cellIs" dxfId="414" priority="431" stopIfTrue="1" operator="equal">
      <formula>$A$31</formula>
    </cfRule>
  </conditionalFormatting>
  <conditionalFormatting sqref="EO15:EQ16">
    <cfRule type="cellIs" dxfId="413" priority="277" stopIfTrue="1" operator="equal">
      <formula>$A$30</formula>
    </cfRule>
  </conditionalFormatting>
  <conditionalFormatting sqref="EO15:EQ17">
    <cfRule type="cellIs" dxfId="412" priority="286" stopIfTrue="1" operator="equal">
      <formula>$A$31</formula>
    </cfRule>
  </conditionalFormatting>
  <conditionalFormatting sqref="EO16:EQ16">
    <cfRule type="cellIs" dxfId="411" priority="288" stopIfTrue="1" operator="equal">
      <formula>$A$30</formula>
    </cfRule>
  </conditionalFormatting>
  <conditionalFormatting sqref="ER14:EY14">
    <cfRule type="cellIs" dxfId="410" priority="31" stopIfTrue="1" operator="equal">
      <formula>$A$31</formula>
    </cfRule>
  </conditionalFormatting>
  <conditionalFormatting sqref="ES11">
    <cfRule type="cellIs" dxfId="409" priority="181" stopIfTrue="1" operator="equal">
      <formula>$A$30</formula>
    </cfRule>
  </conditionalFormatting>
  <conditionalFormatting sqref="ES15:ES16">
    <cfRule type="cellIs" dxfId="408" priority="170" stopIfTrue="1" operator="equal">
      <formula>$A$30</formula>
    </cfRule>
  </conditionalFormatting>
  <conditionalFormatting sqref="ES15:ES17">
    <cfRule type="cellIs" dxfId="407" priority="172" stopIfTrue="1" operator="equal">
      <formula>$A$31</formula>
    </cfRule>
  </conditionalFormatting>
  <conditionalFormatting sqref="ES16">
    <cfRule type="cellIs" dxfId="406" priority="173" stopIfTrue="1" operator="equal">
      <formula>$A$30</formula>
    </cfRule>
  </conditionalFormatting>
  <conditionalFormatting sqref="ES18">
    <cfRule type="cellIs" dxfId="405" priority="126" stopIfTrue="1" operator="equal">
      <formula>$A$31</formula>
    </cfRule>
  </conditionalFormatting>
  <conditionalFormatting sqref="ES13:EY13">
    <cfRule type="cellIs" dxfId="404" priority="35" stopIfTrue="1" operator="equal">
      <formula>$A$31</formula>
    </cfRule>
  </conditionalFormatting>
  <conditionalFormatting sqref="EU18:EZ18">
    <cfRule type="cellIs" dxfId="403" priority="10" stopIfTrue="1" operator="equal">
      <formula>$A$31</formula>
    </cfRule>
  </conditionalFormatting>
  <conditionalFormatting sqref="EV11">
    <cfRule type="cellIs" dxfId="402" priority="83" stopIfTrue="1" operator="equal">
      <formula>$A$30</formula>
    </cfRule>
  </conditionalFormatting>
  <conditionalFormatting sqref="EW15:EZ17">
    <cfRule type="cellIs" dxfId="401" priority="1" stopIfTrue="1" operator="equal">
      <formula>$A$31</formula>
    </cfRule>
  </conditionalFormatting>
  <conditionalFormatting sqref="EZ13:EZ14">
    <cfRule type="cellIs" dxfId="400" priority="12" stopIfTrue="1" operator="equal">
      <formula>$A$31</formula>
    </cfRule>
  </conditionalFormatting>
  <conditionalFormatting sqref="I10:R10">
    <cfRule type="cellIs" dxfId="399" priority="3573" stopIfTrue="1" operator="equal">
      <formula>$B$30</formula>
    </cfRule>
  </conditionalFormatting>
  <printOptions horizontalCentered="1" verticalCentered="1"/>
  <pageMargins left="0.74803149606299213" right="0.74803149606299213" top="0.98425196850393704" bottom="0.98425196850393704" header="0" footer="0"/>
  <pageSetup paperSize="9" scale="19" orientation="landscape" r:id="rId1"/>
  <headerFooter alignWithMargins="0">
    <oddFooter>&amp;CPágina &amp;P de &amp;N</oddFooter>
  </headerFooter>
  <colBreaks count="1" manualBreakCount="1">
    <brk id="28" min="4" max="59" man="1"/>
  </colBreaks>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
  <dimension ref="A1:BZ32"/>
  <sheetViews>
    <sheetView topLeftCell="C1" zoomScale="85" zoomScaleNormal="85" workbookViewId="0">
      <selection activeCell="C17" sqref="C17"/>
    </sheetView>
  </sheetViews>
  <sheetFormatPr baseColWidth="10" defaultColWidth="11.42578125" defaultRowHeight="12.75"/>
  <cols>
    <col min="1" max="1" width="15.42578125" style="486" hidden="1" customWidth="1"/>
    <col min="2" max="2" width="9.42578125" style="486" hidden="1" customWidth="1"/>
    <col min="3" max="3" width="37.28515625" style="470" bestFit="1" customWidth="1"/>
    <col min="4" max="4" width="7.42578125" style="470" customWidth="1"/>
    <col min="5" max="5" width="16.7109375" style="470" customWidth="1"/>
    <col min="6" max="6" width="15.85546875" style="470" customWidth="1"/>
    <col min="7" max="7" width="13.5703125" style="470" customWidth="1"/>
    <col min="8" max="8" width="14.28515625" style="470" customWidth="1"/>
    <col min="9" max="9" width="14" style="470" customWidth="1"/>
    <col min="10" max="11" width="14.42578125" customWidth="1"/>
    <col min="12" max="14" width="14.28515625" style="470" customWidth="1"/>
    <col min="15" max="16" width="14.28515625" style="571" customWidth="1"/>
    <col min="17" max="17" width="14.7109375" style="470" customWidth="1"/>
    <col min="18" max="18" width="14.28515625" style="470" customWidth="1"/>
    <col min="19" max="20" width="14.28515625" style="491" customWidth="1"/>
    <col min="21" max="21" width="14.28515625" style="470" customWidth="1"/>
    <col min="22" max="22" width="14.28515625" style="491" customWidth="1"/>
    <col min="23" max="23" width="13.7109375" customWidth="1"/>
    <col min="24" max="24" width="13" style="470" customWidth="1"/>
    <col min="25" max="25" width="14.28515625" style="607" customWidth="1"/>
    <col min="26" max="26" width="12.85546875" style="470" customWidth="1"/>
    <col min="27" max="27" width="14.28515625" style="491" customWidth="1"/>
    <col min="28" max="28" width="14.85546875" style="470" customWidth="1"/>
    <col min="29" max="31" width="16.28515625" style="470" customWidth="1"/>
    <col min="32" max="32" width="14.28515625" style="470" customWidth="1"/>
    <col min="33" max="44" width="16.28515625" style="470" customWidth="1"/>
    <col min="45" max="45" width="12.5703125" style="470" customWidth="1"/>
    <col min="46" max="54" width="13" style="470" customWidth="1"/>
    <col min="55" max="56" width="12.85546875" style="470" customWidth="1"/>
    <col min="57" max="58" width="11.42578125" style="470"/>
    <col min="59" max="59" width="12.42578125" style="470" customWidth="1"/>
    <col min="60" max="60" width="12.28515625" style="470" customWidth="1"/>
    <col min="61" max="61" width="12.42578125" style="470" customWidth="1"/>
    <col min="62" max="62" width="16.140625" style="491" customWidth="1"/>
    <col min="63" max="63" width="16.140625" style="571" customWidth="1"/>
    <col min="64" max="65" width="14.5703125" style="470" customWidth="1"/>
    <col min="66" max="67" width="14.5703125" style="571" customWidth="1"/>
    <col min="68" max="71" width="13.42578125" style="470" customWidth="1"/>
    <col min="72" max="73" width="14.85546875" style="470" customWidth="1"/>
    <col min="74" max="74" width="14.85546875" style="470" hidden="1" customWidth="1"/>
    <col min="75" max="75" width="11.42578125" style="470" customWidth="1"/>
    <col min="76" max="77" width="11.42578125" style="470"/>
    <col min="78" max="78" width="0" style="1025" hidden="1" customWidth="1"/>
    <col min="79" max="16384" width="11.42578125" style="470"/>
  </cols>
  <sheetData>
    <row r="1" spans="1:78">
      <c r="C1" s="1103" t="str">
        <f>Criterios!A9 &amp;"  "&amp;Criterios!B9</f>
        <v>Tribunales de Justicia  CATALUÑA</v>
      </c>
    </row>
    <row r="2" spans="1:78" ht="16.5" customHeight="1">
      <c r="C2" s="487" t="str">
        <f>Criterios!A10 &amp;"  "&amp;Criterios!B10 &amp; "  " &amp; IF(NOT(ISBLANK(Criterios!A11)),Criterios!A11 &amp;"  "&amp;Criterios!B11,"")</f>
        <v>Provincias  BARCELONA  Resumenes por Partidos Judiciales  VIC</v>
      </c>
      <c r="D2" s="487"/>
      <c r="E2" s="488"/>
      <c r="F2" s="488"/>
      <c r="G2" s="489"/>
      <c r="I2" s="488"/>
      <c r="J2" s="261"/>
      <c r="K2" s="261"/>
      <c r="L2" s="488"/>
      <c r="M2" s="488"/>
      <c r="N2" s="488"/>
      <c r="O2" s="581"/>
      <c r="P2" s="581"/>
      <c r="Q2" s="488"/>
      <c r="U2" s="488"/>
      <c r="V2" s="490"/>
      <c r="Y2" s="603"/>
    </row>
    <row r="3" spans="1:78" ht="30" customHeight="1">
      <c r="C3" s="653"/>
      <c r="D3" s="492"/>
      <c r="G3" s="489"/>
      <c r="I3" s="488"/>
      <c r="BZ3" s="470"/>
    </row>
    <row r="4" spans="1:78" ht="17.25" customHeight="1" thickBot="1">
      <c r="C4" s="612"/>
      <c r="D4" s="493"/>
      <c r="E4" s="494"/>
      <c r="F4" s="494"/>
      <c r="G4" s="494"/>
      <c r="H4" s="494"/>
      <c r="I4" s="494"/>
      <c r="J4" s="329"/>
      <c r="K4" s="329"/>
      <c r="L4" s="494"/>
      <c r="M4" s="494"/>
      <c r="N4" s="494"/>
      <c r="O4" s="581"/>
      <c r="P4" s="494"/>
      <c r="Q4" s="494"/>
      <c r="R4" s="494"/>
      <c r="S4" s="490"/>
      <c r="T4" s="490"/>
      <c r="U4" s="494"/>
      <c r="V4" s="494"/>
      <c r="Y4" s="603"/>
      <c r="Z4" s="494"/>
      <c r="AA4" s="494"/>
      <c r="AB4" s="494"/>
      <c r="AC4" s="494"/>
      <c r="AD4" s="494"/>
      <c r="AE4" s="494"/>
      <c r="AF4" s="494"/>
      <c r="AG4" s="494"/>
      <c r="AH4" s="494"/>
      <c r="AI4" s="494"/>
      <c r="AJ4" s="494"/>
      <c r="AK4" s="494"/>
      <c r="AL4" s="494"/>
      <c r="AM4" s="494"/>
      <c r="AN4" s="494"/>
      <c r="AO4" s="494"/>
      <c r="AP4" s="494"/>
      <c r="AQ4" s="494"/>
      <c r="AR4" s="494"/>
      <c r="AS4" s="494"/>
      <c r="AT4" s="494"/>
      <c r="AU4" s="494"/>
      <c r="AV4" s="494"/>
      <c r="AW4" s="494"/>
      <c r="AX4" s="494"/>
      <c r="AY4" s="494"/>
      <c r="AZ4" s="494"/>
      <c r="BA4" s="494"/>
      <c r="BB4" s="494"/>
      <c r="BC4" s="494"/>
      <c r="BD4" s="494"/>
      <c r="BE4" s="494"/>
      <c r="BF4" s="494"/>
      <c r="BG4" s="494"/>
      <c r="BH4" s="494"/>
      <c r="BI4" s="494"/>
      <c r="BJ4" s="494"/>
      <c r="BK4" s="494"/>
      <c r="BL4" s="494"/>
      <c r="BM4" s="494"/>
      <c r="BN4" s="494"/>
      <c r="BO4" s="494"/>
      <c r="BP4" s="494"/>
      <c r="BQ4" s="494"/>
      <c r="BR4" s="494"/>
      <c r="BS4" s="494"/>
      <c r="BT4" s="494"/>
      <c r="BU4" s="494"/>
      <c r="BV4" s="494"/>
      <c r="BZ4" s="470"/>
    </row>
    <row r="5" spans="1:78" ht="15.75" customHeight="1">
      <c r="A5" s="1284" t="s">
        <v>351</v>
      </c>
      <c r="B5" s="271"/>
      <c r="C5" s="1521" t="str">
        <f>"Año:  " &amp;Criterios!B$5 &amp; "          Trimestre   " &amp;Criterios!D$5 &amp; " al " &amp;Criterios!D$6</f>
        <v>Año:  2025          Trimestre   4 al 4</v>
      </c>
      <c r="D5" s="1494" t="s">
        <v>376</v>
      </c>
      <c r="E5" s="1494" t="s">
        <v>555</v>
      </c>
      <c r="F5" s="1523" t="s">
        <v>406</v>
      </c>
      <c r="G5" s="1494" t="s">
        <v>128</v>
      </c>
      <c r="H5" s="1494" t="s">
        <v>585</v>
      </c>
      <c r="I5" s="1494" t="s">
        <v>556</v>
      </c>
      <c r="J5" s="1494" t="s">
        <v>659</v>
      </c>
      <c r="K5" s="1494" t="s">
        <v>660</v>
      </c>
      <c r="L5" s="1494" t="s">
        <v>557</v>
      </c>
      <c r="M5" s="1494" t="s">
        <v>525</v>
      </c>
      <c r="N5" s="1494" t="s">
        <v>661</v>
      </c>
      <c r="O5" s="1526" t="s">
        <v>583</v>
      </c>
      <c r="P5" s="1494" t="s">
        <v>679</v>
      </c>
      <c r="Q5" s="1494" t="s">
        <v>674</v>
      </c>
      <c r="R5" s="1494" t="s">
        <v>168</v>
      </c>
      <c r="S5" s="1529" t="s">
        <v>671</v>
      </c>
      <c r="T5" s="1529" t="s">
        <v>673</v>
      </c>
      <c r="U5" s="1494" t="s">
        <v>586</v>
      </c>
      <c r="V5" s="1529" t="s">
        <v>558</v>
      </c>
      <c r="W5" s="1494" t="s">
        <v>762</v>
      </c>
      <c r="X5" s="1494" t="s">
        <v>763</v>
      </c>
      <c r="Y5" s="1497" t="s">
        <v>662</v>
      </c>
      <c r="Z5" s="1512" t="s">
        <v>608</v>
      </c>
      <c r="AA5" s="1515" t="s">
        <v>559</v>
      </c>
      <c r="AB5" s="1512" t="s">
        <v>560</v>
      </c>
      <c r="AC5" s="1512" t="s">
        <v>561</v>
      </c>
      <c r="AD5" s="1491" t="s">
        <v>663</v>
      </c>
      <c r="AE5" s="1491" t="s">
        <v>790</v>
      </c>
      <c r="AF5" s="1494" t="s">
        <v>675</v>
      </c>
      <c r="AG5" s="1494" t="s">
        <v>526</v>
      </c>
      <c r="AH5" s="1494" t="s">
        <v>664</v>
      </c>
      <c r="AI5" s="1494" t="s">
        <v>179</v>
      </c>
      <c r="AJ5" s="1494" t="s">
        <v>729</v>
      </c>
      <c r="AK5" s="1494" t="s">
        <v>527</v>
      </c>
      <c r="AL5" s="1494" t="s">
        <v>528</v>
      </c>
      <c r="AM5" s="1494" t="s">
        <v>680</v>
      </c>
      <c r="AN5" s="1494" t="s">
        <v>529</v>
      </c>
      <c r="AO5" s="1494" t="s">
        <v>530</v>
      </c>
      <c r="AP5" s="1494" t="s">
        <v>531</v>
      </c>
      <c r="AQ5" s="1494" t="s">
        <v>532</v>
      </c>
      <c r="AR5" s="1494" t="s">
        <v>665</v>
      </c>
      <c r="AS5" s="1494" t="s">
        <v>182</v>
      </c>
      <c r="AT5" s="1500" t="s">
        <v>180</v>
      </c>
      <c r="AU5" s="1494" t="s">
        <v>676</v>
      </c>
      <c r="AV5" s="1503" t="s">
        <v>677</v>
      </c>
      <c r="AW5" s="1506" t="s">
        <v>534</v>
      </c>
      <c r="AX5" s="1494" t="s">
        <v>535</v>
      </c>
      <c r="AY5" s="1494" t="s">
        <v>606</v>
      </c>
      <c r="AZ5" s="1509" t="s">
        <v>607</v>
      </c>
      <c r="BA5" s="1494" t="s">
        <v>563</v>
      </c>
      <c r="BB5" s="1503" t="s">
        <v>564</v>
      </c>
      <c r="BC5" s="1506" t="s">
        <v>183</v>
      </c>
      <c r="BD5" s="1494" t="s">
        <v>565</v>
      </c>
      <c r="BE5" s="1494" t="s">
        <v>247</v>
      </c>
      <c r="BF5" s="1494" t="s">
        <v>248</v>
      </c>
      <c r="BG5" s="1494" t="s">
        <v>249</v>
      </c>
      <c r="BH5" s="1494" t="s">
        <v>566</v>
      </c>
      <c r="BI5" s="1494" t="s">
        <v>250</v>
      </c>
      <c r="BJ5" s="1494" t="s">
        <v>567</v>
      </c>
      <c r="BK5" s="1494" t="s">
        <v>581</v>
      </c>
      <c r="BL5" s="1494" t="s">
        <v>568</v>
      </c>
      <c r="BM5" s="1494" t="s">
        <v>569</v>
      </c>
      <c r="BN5" s="1494" t="s">
        <v>594</v>
      </c>
      <c r="BO5" s="1494" t="s">
        <v>587</v>
      </c>
      <c r="BP5" s="1494" t="s">
        <v>828</v>
      </c>
      <c r="BQ5" s="1494" t="s">
        <v>831</v>
      </c>
      <c r="BR5" s="1494" t="s">
        <v>833</v>
      </c>
      <c r="BS5" s="1494" t="s">
        <v>588</v>
      </c>
      <c r="BT5" s="1494" t="s">
        <v>570</v>
      </c>
      <c r="BU5" s="1494" t="s">
        <v>533</v>
      </c>
      <c r="BV5" s="1518" t="s">
        <v>764</v>
      </c>
      <c r="BZ5" s="470"/>
    </row>
    <row r="6" spans="1:78" ht="21.75" customHeight="1">
      <c r="A6" s="1285"/>
      <c r="B6" s="272"/>
      <c r="C6" s="1522"/>
      <c r="D6" s="1495"/>
      <c r="E6" s="1495"/>
      <c r="F6" s="1524"/>
      <c r="G6" s="1495"/>
      <c r="H6" s="1495"/>
      <c r="I6" s="1495"/>
      <c r="J6" s="1495"/>
      <c r="K6" s="1495"/>
      <c r="L6" s="1495"/>
      <c r="M6" s="1495"/>
      <c r="N6" s="1495"/>
      <c r="O6" s="1527"/>
      <c r="P6" s="1495"/>
      <c r="Q6" s="1495"/>
      <c r="R6" s="1495"/>
      <c r="S6" s="1530"/>
      <c r="T6" s="1530"/>
      <c r="U6" s="1495"/>
      <c r="V6" s="1530"/>
      <c r="W6" s="1495"/>
      <c r="X6" s="1495"/>
      <c r="Y6" s="1498"/>
      <c r="Z6" s="1513"/>
      <c r="AA6" s="1516"/>
      <c r="AB6" s="1513"/>
      <c r="AC6" s="1513"/>
      <c r="AD6" s="1492"/>
      <c r="AE6" s="1492"/>
      <c r="AF6" s="1495"/>
      <c r="AG6" s="1495"/>
      <c r="AH6" s="1495"/>
      <c r="AI6" s="1495"/>
      <c r="AJ6" s="1495"/>
      <c r="AK6" s="1495"/>
      <c r="AL6" s="1495"/>
      <c r="AM6" s="1495"/>
      <c r="AN6" s="1495"/>
      <c r="AO6" s="1495"/>
      <c r="AP6" s="1495"/>
      <c r="AQ6" s="1495"/>
      <c r="AR6" s="1495"/>
      <c r="AS6" s="1495"/>
      <c r="AT6" s="1501"/>
      <c r="AU6" s="1495"/>
      <c r="AV6" s="1504"/>
      <c r="AW6" s="1507"/>
      <c r="AX6" s="1495"/>
      <c r="AY6" s="1495"/>
      <c r="AZ6" s="1510"/>
      <c r="BA6" s="1495"/>
      <c r="BB6" s="1504"/>
      <c r="BC6" s="1507"/>
      <c r="BD6" s="1495"/>
      <c r="BE6" s="1495"/>
      <c r="BF6" s="1495"/>
      <c r="BG6" s="1495"/>
      <c r="BH6" s="1495"/>
      <c r="BI6" s="1495"/>
      <c r="BJ6" s="1495"/>
      <c r="BK6" s="1495"/>
      <c r="BL6" s="1495"/>
      <c r="BM6" s="1495"/>
      <c r="BN6" s="1495"/>
      <c r="BO6" s="1495"/>
      <c r="BP6" s="1495"/>
      <c r="BQ6" s="1495"/>
      <c r="BR6" s="1495"/>
      <c r="BS6" s="1495"/>
      <c r="BT6" s="1495"/>
      <c r="BU6" s="1495"/>
      <c r="BV6" s="1519"/>
      <c r="BZ6" s="470"/>
    </row>
    <row r="7" spans="1:78" ht="38.25" customHeight="1" thickBot="1">
      <c r="A7" s="1286"/>
      <c r="B7" s="273"/>
      <c r="C7" s="263" t="str">
        <f>Datos!A7</f>
        <v>COMPETENCIAS</v>
      </c>
      <c r="D7" s="1496"/>
      <c r="E7" s="1496"/>
      <c r="F7" s="1525"/>
      <c r="G7" s="1496"/>
      <c r="H7" s="1496"/>
      <c r="I7" s="1496"/>
      <c r="J7" s="1496"/>
      <c r="K7" s="1496"/>
      <c r="L7" s="1496"/>
      <c r="M7" s="1496"/>
      <c r="N7" s="1496"/>
      <c r="O7" s="1528"/>
      <c r="P7" s="1496"/>
      <c r="Q7" s="1496"/>
      <c r="R7" s="1496"/>
      <c r="S7" s="1531"/>
      <c r="T7" s="1531"/>
      <c r="U7" s="1496"/>
      <c r="V7" s="1531"/>
      <c r="W7" s="1496"/>
      <c r="X7" s="1496"/>
      <c r="Y7" s="1499"/>
      <c r="Z7" s="1514"/>
      <c r="AA7" s="1517"/>
      <c r="AB7" s="1514"/>
      <c r="AC7" s="1514"/>
      <c r="AD7" s="1493"/>
      <c r="AE7" s="1493"/>
      <c r="AF7" s="1496"/>
      <c r="AG7" s="1496"/>
      <c r="AH7" s="1496"/>
      <c r="AI7" s="1496"/>
      <c r="AJ7" s="1496"/>
      <c r="AK7" s="1496"/>
      <c r="AL7" s="1496"/>
      <c r="AM7" s="1496"/>
      <c r="AN7" s="1496"/>
      <c r="AO7" s="1496"/>
      <c r="AP7" s="1496"/>
      <c r="AQ7" s="1496"/>
      <c r="AR7" s="1496"/>
      <c r="AS7" s="1496"/>
      <c r="AT7" s="1502"/>
      <c r="AU7" s="1496"/>
      <c r="AV7" s="1505"/>
      <c r="AW7" s="1508"/>
      <c r="AX7" s="1496"/>
      <c r="AY7" s="1496"/>
      <c r="AZ7" s="1511"/>
      <c r="BA7" s="1496"/>
      <c r="BB7" s="1505"/>
      <c r="BC7" s="1508"/>
      <c r="BD7" s="1496"/>
      <c r="BE7" s="1496"/>
      <c r="BF7" s="1496"/>
      <c r="BG7" s="1496"/>
      <c r="BH7" s="1496"/>
      <c r="BI7" s="1496"/>
      <c r="BJ7" s="1496"/>
      <c r="BK7" s="1496"/>
      <c r="BL7" s="1496"/>
      <c r="BM7" s="1496"/>
      <c r="BN7" s="1496"/>
      <c r="BO7" s="1496"/>
      <c r="BP7" s="1496"/>
      <c r="BQ7" s="1496"/>
      <c r="BR7" s="1496"/>
      <c r="BS7" s="1496"/>
      <c r="BT7" s="1496"/>
      <c r="BU7" s="1496"/>
      <c r="BV7" s="1520"/>
      <c r="BZ7" s="470"/>
    </row>
    <row r="8" spans="1:78" ht="15" thickTop="1">
      <c r="A8" s="495"/>
      <c r="B8" s="495"/>
      <c r="C8" s="160" t="str">
        <f>Datos!A8</f>
        <v>Jurisdicción Civil ( 1 ):</v>
      </c>
      <c r="D8" s="496"/>
      <c r="E8" s="496"/>
      <c r="F8" s="215"/>
      <c r="G8" s="215"/>
      <c r="H8" s="216"/>
      <c r="I8" s="215"/>
      <c r="J8" s="216"/>
      <c r="K8" s="216"/>
      <c r="L8" s="216"/>
      <c r="M8" s="216"/>
      <c r="N8" s="216"/>
      <c r="O8" s="582"/>
      <c r="P8" s="582"/>
      <c r="Q8" s="216"/>
      <c r="R8" s="216"/>
      <c r="S8" s="474"/>
      <c r="T8" s="474"/>
      <c r="U8" s="216"/>
      <c r="V8" s="474"/>
      <c r="W8" s="298"/>
      <c r="X8" s="298"/>
      <c r="Y8" s="216"/>
      <c r="Z8" s="220"/>
      <c r="AA8" s="475"/>
      <c r="AB8" s="215"/>
      <c r="AC8" s="216"/>
      <c r="AD8" s="216"/>
      <c r="AE8" s="216"/>
      <c r="AF8" s="215"/>
      <c r="AG8" s="216"/>
      <c r="AH8" s="216"/>
      <c r="AI8" s="216"/>
      <c r="AJ8" s="216"/>
      <c r="AK8" s="216"/>
      <c r="AL8" s="216"/>
      <c r="AM8" s="216"/>
      <c r="AN8" s="216"/>
      <c r="AO8" s="216"/>
      <c r="AP8" s="216"/>
      <c r="AQ8" s="216"/>
      <c r="AR8" s="216"/>
      <c r="AS8" s="308"/>
      <c r="AT8" s="215"/>
      <c r="AU8" s="216"/>
      <c r="AV8" s="217"/>
      <c r="AW8" s="297"/>
      <c r="AX8" s="226"/>
      <c r="AY8" s="297"/>
      <c r="AZ8" s="226"/>
      <c r="BA8" s="216"/>
      <c r="BB8" s="217"/>
      <c r="BC8" s="215"/>
      <c r="BD8" s="216"/>
      <c r="BE8" s="218"/>
      <c r="BF8" s="219"/>
      <c r="BG8" s="220"/>
      <c r="BH8" s="221"/>
      <c r="BI8" s="220"/>
      <c r="BJ8" s="223"/>
      <c r="BK8" s="572"/>
      <c r="BL8" s="223"/>
      <c r="BM8" s="302"/>
      <c r="BN8" s="584"/>
      <c r="BO8" s="584"/>
      <c r="BP8" s="223"/>
      <c r="BQ8" s="223"/>
      <c r="BR8" s="223"/>
      <c r="BS8" s="223"/>
      <c r="BT8" s="298"/>
      <c r="BU8" s="476"/>
      <c r="BV8" s="1105"/>
    </row>
    <row r="9" spans="1:78" ht="14.25">
      <c r="A9" s="500">
        <f>Datos!AO9</f>
        <v>0</v>
      </c>
      <c r="B9" s="500" t="s">
        <v>246</v>
      </c>
      <c r="C9" s="159" t="str">
        <f>Datos!A9</f>
        <v xml:space="preserve">Jdos. 1ª Instancia   </v>
      </c>
      <c r="D9" s="501"/>
      <c r="E9" s="259">
        <f>IF(ISNUMBER(Datos!AQ9),Datos!AQ9," - ")</f>
        <v>0</v>
      </c>
      <c r="F9" s="224" t="str">
        <f>IF(ISNUMBER(AF9+AB9-I9-L9),AF9+AB9-I9-L9," - ")</f>
        <v xml:space="preserve"> - </v>
      </c>
      <c r="G9" s="332" t="str">
        <f>IF(ISNUMBER(IF(J_V="SI",Datos!I9,Datos!I9+Datos!Y9)-IF(Monitorios="SI",Datos!CA9,0)),
                          IF(J_V="SI",Datos!I9,Datos!I9+Datos!Y9)-IF(Monitorios="SI",Datos!CA9,0),
                          " - ")</f>
        <v xml:space="preserve"> - </v>
      </c>
      <c r="H9" s="225"/>
      <c r="I9" s="224" t="str">
        <f>IF(ISNUMBER(Datos!DB9),Datos!DB9," - ")</f>
        <v xml:space="preserve"> - </v>
      </c>
      <c r="J9" s="225" t="str">
        <f>IF(ISNUMBER(Datos!DC9),Datos!DC9," - ")</f>
        <v xml:space="preserve"> - </v>
      </c>
      <c r="K9" s="333" t="str">
        <f>IF(ISNUMBER(Datos!DD9),Datos!DD9," - ")</f>
        <v xml:space="preserve"> - </v>
      </c>
      <c r="L9" s="225">
        <f>IF(ISNUMBER(Datos!DF9),Datos!DF9,0)</f>
        <v>0</v>
      </c>
      <c r="M9" s="225">
        <f>IF(ISNUMBER(Datos!DM9),Datos!DM9,0)</f>
        <v>0</v>
      </c>
      <c r="N9" s="333" t="str">
        <f>IF(ISNUMBER(Datos!Z9),Datos!Z9," - ")</f>
        <v xml:space="preserve"> - </v>
      </c>
      <c r="O9" s="333"/>
      <c r="P9" s="333"/>
      <c r="Q9" s="225">
        <f>IF(ISNUMBER(Datos!P9),Datos!P9,0)</f>
        <v>0</v>
      </c>
      <c r="R9" s="225" t="str">
        <f>IF(ISNUMBER(Datos!DE9),Datos!DE9," - ")</f>
        <v xml:space="preserve"> - </v>
      </c>
      <c r="S9" s="347"/>
      <c r="T9" s="347"/>
      <c r="U9" s="225" t="str">
        <f>IF(ISNUMBER(Datos!AS9/1),Datos!AS9/1," - ")</f>
        <v xml:space="preserve"> - </v>
      </c>
      <c r="V9" s="480" t="str">
        <f>IF(ISNUMBER(U9/(Datos!BM9/factor_trimestre)),U9/(Datos!BM9/factor_trimestre)," - ")</f>
        <v xml:space="preserve"> - </v>
      </c>
      <c r="W9" s="225" t="str">
        <f>IF(ISNUMBER(Datos!EO9),Datos!EO9," - ")</f>
        <v xml:space="preserve"> - </v>
      </c>
      <c r="X9" s="990" t="e">
        <f>(W9/Datos!ER9)*factor_trimestre</f>
        <v>#VALUE!</v>
      </c>
      <c r="Y9" s="618" t="str">
        <f>IF(ISNUMBER(Datos!CB9),Datos!CB9," - ")</f>
        <v xml:space="preserve"> - </v>
      </c>
      <c r="Z9" s="224">
        <f>IF(ISNUMBER(Datos!BY9+Datos!BZ9*0.86),Datos!BY9+Datos!BZ9*0.86," - ")</f>
        <v>0</v>
      </c>
      <c r="AA9" s="480">
        <f>IF(ISNUMBER((Z9*factor_trimestre)/DatosB!CN9),(Z9*factor_trimestre)/DatosB!CN9,"-")</f>
        <v>0</v>
      </c>
      <c r="AB9" s="224" t="str">
        <f>IF(ISNUMBER(IF(J_V="SI",Datos!K9,Datos!K9+Datos!AA9)-IF(Monitorios="SI",Datos!CC9,0)),
                          IF(J_V="SI",Datos!K9,Datos!K9+Datos!AA9)-IF(Monitorios="SI",Datos!CC9,0),
                          " - ")</f>
        <v xml:space="preserve"> - </v>
      </c>
      <c r="AC9" s="225" t="str">
        <f>IF(ISNUMBER(Datos!Q9),Datos!Q9," - ")</f>
        <v xml:space="preserve"> - </v>
      </c>
      <c r="AD9" s="333" t="str">
        <f>IF(ISNUMBER(Datos!CC9),Datos!CC9," - ")</f>
        <v xml:space="preserve"> - </v>
      </c>
      <c r="AE9" s="483" t="str">
        <f>IF(ISNUMBER(Datos!EM9),Datos!EM9," - ")</f>
        <v xml:space="preserve"> - </v>
      </c>
      <c r="AF9" s="331" t="str">
        <f>IF(ISNUMBER(IF(J_V="SI",Datos!L9,Datos!L9+Datos!AB9)-IF(Monitorios="SI",Datos!CD9,0)),
                          IF(J_V="SI",Datos!L9,Datos!L9+Datos!AB9)-IF(Monitorios="SI",Datos!CD9,0),
                          " - ")</f>
        <v xml:space="preserve"> - </v>
      </c>
      <c r="AG9" s="333"/>
      <c r="AH9" s="333" t="str">
        <f>IF(ISNUMBER(Datos!AB9),Datos!AB9,"-")</f>
        <v>-</v>
      </c>
      <c r="AI9" s="333" t="str">
        <f>IF(ISNUMBER(Datos!CD9),Datos!CD9,"-")</f>
        <v>-</v>
      </c>
      <c r="AJ9" s="333" t="str">
        <f>IF(ISNUMBER(Datos!EN9),Datos!EN9," - ")</f>
        <v xml:space="preserve"> - </v>
      </c>
      <c r="AK9" s="333"/>
      <c r="AL9" s="478"/>
      <c r="AM9" s="334" t="str">
        <f>IF(ISNUMBER(Datos!R9),Datos!R9," - ")</f>
        <v xml:space="preserve"> - </v>
      </c>
      <c r="AN9" s="333"/>
      <c r="AO9" s="333"/>
      <c r="AP9" s="333"/>
      <c r="AQ9" s="333"/>
      <c r="AR9" s="333"/>
      <c r="AS9" s="333" t="str">
        <f>IF(ISNUMBER(Datos!BV9),Datos!BV9," - ")</f>
        <v xml:space="preserve"> - </v>
      </c>
      <c r="AT9" s="224" t="str">
        <f>IF(ISNUMBER(Datos!CK9),Datos!CK9," - ")</f>
        <v xml:space="preserve"> - </v>
      </c>
      <c r="AU9" s="297" t="str">
        <f>IF(ISNUMBER(Datos!CL9),Datos!CL9," - ")</f>
        <v xml:space="preserve"> - </v>
      </c>
      <c r="AV9" s="226" t="str">
        <f>IF(ISNUMBER(Datos!CM9),Datos!CM9," - ")</f>
        <v xml:space="preserve"> - </v>
      </c>
      <c r="AW9" s="297" t="str">
        <f>IF(ISNUMBER(Datos!DV9),Datos!DV9," - ")</f>
        <v xml:space="preserve"> - </v>
      </c>
      <c r="AX9" s="226" t="str">
        <f>IF(ISNUMBER(Datos!DW9),Datos!DW9," - ")</f>
        <v xml:space="preserve"> - </v>
      </c>
      <c r="AY9" s="297" t="str">
        <f>IF(ISNUMBER(Datos!DX9),Datos!DX9," - ")</f>
        <v xml:space="preserve"> - </v>
      </c>
      <c r="AZ9" s="226" t="str">
        <f>IF(ISNUMBER(Datos!DY9),Datos!DY9," - ")</f>
        <v xml:space="preserve"> - </v>
      </c>
      <c r="BA9" s="297"/>
      <c r="BB9" s="226"/>
      <c r="BC9" s="224" t="str">
        <f>IF(ISNUMBER(Datos!M9),Datos!M9," - ")</f>
        <v xml:space="preserve"> - </v>
      </c>
      <c r="BD9" s="228" t="str">
        <f>IF(ISNUMBER(Datos!N9),Datos!N9," - ")</f>
        <v xml:space="preserve"> - </v>
      </c>
      <c r="BE9" s="228" t="str">
        <f>IF(ISNUMBER(Datos!BW9),Datos!BW9," - ")</f>
        <v xml:space="preserve"> - </v>
      </c>
      <c r="BF9" s="227" t="str">
        <f>IF(ISNUMBER(Datos!BX9),Datos!BX9," - ")</f>
        <v xml:space="preserve"> - </v>
      </c>
      <c r="BG9" s="242" t="str">
        <f>IF(ISNUMBER(IF(J_V="SI",Datos!K9/Datos!J9,(Datos!K9+Datos!AA9)/(Datos!J9+Datos!Z9))),IF(J_V="SI",Datos!K9/Datos!J9,(Datos!K9+Datos!AA9)/(Datos!J9+Datos!Z9))," - ")</f>
        <v xml:space="preserve"> - </v>
      </c>
      <c r="BH9" s="259" t="str">
        <f>IF(ISNUMBER(((IF(J_V="SI",Datos!L9/Datos!K9,(Datos!L9+Datos!AB9)/(Datos!K9+Datos!AA9)))*11)/factor_trimestre),((IF(J_V="SI",Datos!L9/Datos!K9,(Datos!L9+Datos!AB9)/(Datos!K9+Datos!AA9)))*11)/factor_trimestre," - ")</f>
        <v xml:space="preserve"> - </v>
      </c>
      <c r="BI9" s="242"/>
      <c r="BJ9" s="229" t="str">
        <f>IF(ISNUMBER(Datos!CI9/Datos!CJ9),Datos!CI9/Datos!CJ9," - ")</f>
        <v xml:space="preserve"> - </v>
      </c>
      <c r="BK9" s="359" t="str">
        <f>IF(ISNUMBER(Datos!CJ9),Datos!CJ9," - ")</f>
        <v xml:space="preserve"> - </v>
      </c>
      <c r="BL9" s="229" t="str">
        <f>IF(ISNUMBER((J9-AB9+L9)/(F9)),(J9-AB9+L9)/(F9)," - ")</f>
        <v xml:space="preserve"> - </v>
      </c>
      <c r="BM9" s="610" t="str">
        <f>IF(ISNUMBER((Datos!P9-Datos!Q9+Datos!DE9)/(Datos!R9-Datos!P9+Datos!Q9-Datos!DE9)),(Datos!P9-Datos!Q9+Datos!DE9)/(Datos!R9-Datos!P9+Datos!Q9-Datos!DE9)," - ")</f>
        <v xml:space="preserve"> - </v>
      </c>
      <c r="BN9" s="602"/>
      <c r="BO9" s="602"/>
      <c r="BP9" s="265" t="str">
        <f>IF(ISNUMBER(Datos!EV9),Datos!EV9," - ")</f>
        <v xml:space="preserve"> - </v>
      </c>
      <c r="BQ9" s="265" t="str">
        <f>IF(ISNUMBER(Datos!CW9),Datos!CW9," - ")</f>
        <v xml:space="preserve"> - </v>
      </c>
      <c r="BR9" s="265"/>
      <c r="BS9" s="265"/>
      <c r="BT9" s="265">
        <f>Datos!CX9</f>
        <v>0</v>
      </c>
      <c r="BU9" s="479">
        <f>Datos!DU9</f>
        <v>0</v>
      </c>
      <c r="BV9" s="1106">
        <f>Datos!ER9/factor_trimestre</f>
        <v>327.27272727272731</v>
      </c>
      <c r="BZ9" s="1185">
        <f>Datos!EZ9</f>
        <v>0</v>
      </c>
    </row>
    <row r="10" spans="1:78" ht="14.25">
      <c r="A10" s="500">
        <f>Datos!AO10</f>
        <v>1</v>
      </c>
      <c r="B10" s="506" t="s">
        <v>246</v>
      </c>
      <c r="C10" s="7" t="str">
        <f>Datos!A10</f>
        <v>Jdos. Violencia contra la mujer/Secc Viol. TI.</v>
      </c>
      <c r="D10" s="507"/>
      <c r="E10" s="259">
        <f>IF(ISNUMBER(Datos!AQ10),Datos!AQ10," - ")</f>
        <v>0</v>
      </c>
      <c r="F10" s="224">
        <f>IF(ISNUMBER(Datos!L10+Datos!K10-Datos!J10),Datos!L10+Datos!K10-Datos!J10," - ")</f>
        <v>98</v>
      </c>
      <c r="G10" s="332">
        <f>IF(ISNUMBER(Datos!I10),Datos!I10," - ")</f>
        <v>98</v>
      </c>
      <c r="H10" s="225"/>
      <c r="I10" s="224" t="str">
        <f>IF(ISNUMBER(Datos!DB10),Datos!DB10," - ")</f>
        <v xml:space="preserve"> - </v>
      </c>
      <c r="J10" s="225" t="str">
        <f>IF(ISNUMBER(Datos!DC10),Datos!DC10," - ")</f>
        <v xml:space="preserve"> - </v>
      </c>
      <c r="K10" s="333" t="str">
        <f>IF(ISNUMBER(Datos!DD10),Datos!DD10," - ")</f>
        <v xml:space="preserve"> - </v>
      </c>
      <c r="L10" s="225">
        <f>IF(ISNUMBER(Datos!DF10),Datos!DF10,0)</f>
        <v>0</v>
      </c>
      <c r="M10" s="225">
        <f>IF(ISNUMBER(Datos!DM10),Datos!DM10,0)</f>
        <v>0</v>
      </c>
      <c r="N10" s="333"/>
      <c r="O10" s="333"/>
      <c r="P10" s="333"/>
      <c r="Q10" s="225">
        <f>IF(ISNUMBER(Datos!P10),Datos!P10,0)</f>
        <v>9</v>
      </c>
      <c r="R10" s="225" t="str">
        <f>IF(ISNUMBER(Datos!DE10),Datos!DE10," - ")</f>
        <v xml:space="preserve"> - </v>
      </c>
      <c r="S10" s="347"/>
      <c r="T10" s="347"/>
      <c r="U10" s="225" t="str">
        <f>IF(ISNUMBER(Datos!AS10/1),Datos!AS10/1," - ")</f>
        <v xml:space="preserve"> - </v>
      </c>
      <c r="V10" s="480" t="str">
        <f>IF(ISNUMBER(U10/(Datos!BM10/factor_trimestre)),U10/(Datos!BM10/factor_trimestre)," - ")</f>
        <v xml:space="preserve"> - </v>
      </c>
      <c r="W10" s="225" t="str">
        <f>IF(ISNUMBER(Datos!EO10),Datos!EO10," - ")</f>
        <v xml:space="preserve"> - </v>
      </c>
      <c r="X10" s="990" t="e">
        <f>(W10/Datos!ER10)*factor_trimestre</f>
        <v>#VALUE!</v>
      </c>
      <c r="Y10" s="618"/>
      <c r="Z10" s="224" t="str">
        <f>IF(ISNUMBER(Datos!BY10),Datos!BY10," - ")</f>
        <v xml:space="preserve"> - </v>
      </c>
      <c r="AA10" s="480" t="str">
        <f>IF(ISNUMBER((Z10*factor_trimestre)/DatosB!CN10),(Z10*factor_trimestre)/DatosB!CN10,"-")</f>
        <v>-</v>
      </c>
      <c r="AB10" s="224">
        <f>IF(ISNUMBER(Datos!K10),Datos!K10," - ")</f>
        <v>12</v>
      </c>
      <c r="AC10" s="225">
        <f>IF(ISNUMBER(Datos!Q10),Datos!Q10," - ")</f>
        <v>1</v>
      </c>
      <c r="AD10" s="333"/>
      <c r="AE10" s="483"/>
      <c r="AF10" s="331">
        <f>IF(ISNUMBER(Datos!L10),Datos!L10,"-")</f>
        <v>97</v>
      </c>
      <c r="AG10" s="333"/>
      <c r="AH10" s="333"/>
      <c r="AI10" s="333"/>
      <c r="AJ10" s="333"/>
      <c r="AK10" s="333"/>
      <c r="AL10" s="478"/>
      <c r="AM10" s="334">
        <f>IF(ISNUMBER(Datos!R10),Datos!R10," - ")</f>
        <v>67</v>
      </c>
      <c r="AN10" s="333"/>
      <c r="AO10" s="333"/>
      <c r="AP10" s="333"/>
      <c r="AQ10" s="333"/>
      <c r="AR10" s="333"/>
      <c r="AS10" s="333" t="str">
        <f>IF(ISNUMBER(Datos!BV10),Datos!BV10," - ")</f>
        <v xml:space="preserve"> - </v>
      </c>
      <c r="AT10" s="224" t="str">
        <f>IF(ISNUMBER(Datos!CK10),Datos!CK10," - ")</f>
        <v xml:space="preserve"> - </v>
      </c>
      <c r="AU10" s="297" t="str">
        <f>IF(ISNUMBER(Datos!CL10),Datos!CL10," - ")</f>
        <v xml:space="preserve"> - </v>
      </c>
      <c r="AV10" s="226" t="str">
        <f>IF(ISNUMBER(Datos!CM10),Datos!CM10," - ")</f>
        <v xml:space="preserve"> - </v>
      </c>
      <c r="AW10" s="297" t="str">
        <f>IF(ISNUMBER(Datos!DV10),Datos!DV10," - ")</f>
        <v xml:space="preserve"> - </v>
      </c>
      <c r="AX10" s="226" t="str">
        <f>IF(ISNUMBER(Datos!DW10),Datos!DW10," - ")</f>
        <v xml:space="preserve"> - </v>
      </c>
      <c r="AY10" s="297" t="str">
        <f>IF(ISNUMBER(Datos!DX10),Datos!DX10," - ")</f>
        <v xml:space="preserve"> - </v>
      </c>
      <c r="AZ10" s="226" t="str">
        <f>IF(ISNUMBER(Datos!DY10),Datos!DY10," - ")</f>
        <v xml:space="preserve"> - </v>
      </c>
      <c r="BA10" s="297"/>
      <c r="BB10" s="226"/>
      <c r="BC10" s="224">
        <f>IF(ISNUMBER(Datos!M10),Datos!M10," - ")</f>
        <v>8</v>
      </c>
      <c r="BD10" s="228">
        <f>IF(ISNUMBER(Datos!N10),Datos!N10," - ")</f>
        <v>4</v>
      </c>
      <c r="BE10" s="228" t="str">
        <f>IF(ISNUMBER(Datos!BW10),Datos!BW10," - ")</f>
        <v xml:space="preserve"> - </v>
      </c>
      <c r="BF10" s="227" t="str">
        <f>IF(ISNUMBER(Datos!BX10),Datos!BX10," - ")</f>
        <v xml:space="preserve"> - </v>
      </c>
      <c r="BG10" s="242">
        <f>IF(ISNUMBER(Datos!K10/Datos!J10),Datos!K10/Datos!J10," - ")</f>
        <v>1.0909090909090908</v>
      </c>
      <c r="BH10" s="259">
        <f>IF(ISNUMBER(((Datos!L10/Datos!K10)*11)/factor_trimestre),((Datos!L10/Datos!K10)*11)/factor_trimestre," - ")</f>
        <v>24.250000000000004</v>
      </c>
      <c r="BI10" s="242"/>
      <c r="BJ10" s="229" t="str">
        <f>IF(ISNUMBER(Datos!CI10/Datos!CJ10),Datos!CI10/Datos!CJ10," - ")</f>
        <v xml:space="preserve"> - </v>
      </c>
      <c r="BK10" s="359" t="str">
        <f>IF(ISNUMBER(Datos!CJ10),Datos!CJ10," - ")</f>
        <v xml:space="preserve"> - </v>
      </c>
      <c r="BL10" s="229" t="str">
        <f>IF(ISNUMBER((I10-AB10+L10)/(F10)),(I10-AB10+L10)/(F10)," - ")</f>
        <v xml:space="preserve"> - </v>
      </c>
      <c r="BM10" s="610">
        <f>IF(ISNUMBER((Datos!P10-Datos!Q10+Datos!DE10)/(Datos!R10-Datos!P10+Datos!Q10-Datos!DE10)),(Datos!P10-Datos!Q10+Datos!DE10)/(Datos!R10-Datos!P10+Datos!Q10-Datos!DE10)," - ")</f>
        <v>0.13559322033898305</v>
      </c>
      <c r="BN10" s="602"/>
      <c r="BO10" s="602"/>
      <c r="BP10" s="265" t="str">
        <f>IF(ISNUMBER(Datos!EV10),Datos!EV10," - ")</f>
        <v xml:space="preserve"> - </v>
      </c>
      <c r="BQ10" s="265" t="str">
        <f>IF(ISNUMBER(Datos!CW10),Datos!CW10," - ")</f>
        <v xml:space="preserve"> - </v>
      </c>
      <c r="BR10" s="265"/>
      <c r="BS10" s="265"/>
      <c r="BT10" s="265">
        <f>Datos!CX10</f>
        <v>0</v>
      </c>
      <c r="BU10" s="479">
        <f>Datos!DU10</f>
        <v>0</v>
      </c>
      <c r="BV10" s="1106">
        <f>Datos!ER10/factor_trimestre</f>
        <v>436.36363636363637</v>
      </c>
      <c r="BZ10" s="1185">
        <f>Datos!EZ10</f>
        <v>0</v>
      </c>
    </row>
    <row r="11" spans="1:78" ht="14.25">
      <c r="A11" s="500">
        <f>Datos!AO11</f>
        <v>0</v>
      </c>
      <c r="B11" s="506" t="s">
        <v>246</v>
      </c>
      <c r="C11" s="7" t="str">
        <f>Datos!A11</f>
        <v xml:space="preserve">Jdos. Familia                                   </v>
      </c>
      <c r="D11" s="507"/>
      <c r="E11" s="259">
        <f>IF(ISNUMBER(Datos!AQ11),Datos!AQ11," - ")</f>
        <v>0</v>
      </c>
      <c r="F11" s="224" t="str">
        <f>IF(ISNUMBER(AF11+AB11-I11-L11),AF11+AB11-I11-L11," - ")</f>
        <v xml:space="preserve"> - </v>
      </c>
      <c r="G11" s="332" t="str">
        <f>IF(ISNUMBER(IF(J_V="SI",Datos!I11,Datos!I11+Datos!Y11)-IF(Monitorios="SI",Datos!CA11,0)),
                          IF(J_V="SI",Datos!I11,Datos!I11+Datos!Y11)-IF(Monitorios="SI",Datos!CA11,0),
                          " - ")</f>
        <v xml:space="preserve"> - </v>
      </c>
      <c r="H11" s="225"/>
      <c r="I11" s="224" t="str">
        <f>IF(ISNUMBER(Datos!DC11),Datos!DC11," - ")</f>
        <v xml:space="preserve"> - </v>
      </c>
      <c r="J11" s="225" t="str">
        <f>IF(ISNUMBER(Datos!DB11),Datos!DB11," - ")</f>
        <v xml:space="preserve"> - </v>
      </c>
      <c r="K11" s="333" t="str">
        <f>IF(ISNUMBER(Datos!DD11),Datos!DD11," - ")</f>
        <v xml:space="preserve"> - </v>
      </c>
      <c r="L11" s="225">
        <f>IF(ISNUMBER(Datos!DF11),Datos!DF11,0)</f>
        <v>0</v>
      </c>
      <c r="M11" s="225">
        <f>IF(ISNUMBER(Datos!DM11),Datos!DM11,0)</f>
        <v>0</v>
      </c>
      <c r="N11" s="333" t="str">
        <f>IF(ISNUMBER(Datos!Z11),Datos!Z11," - ")</f>
        <v xml:space="preserve"> - </v>
      </c>
      <c r="O11" s="333"/>
      <c r="P11" s="333"/>
      <c r="Q11" s="225">
        <f>IF(ISNUMBER(Datos!P11),Datos!P11,0)</f>
        <v>0</v>
      </c>
      <c r="R11" s="225" t="str">
        <f>IF(ISNUMBER(Datos!DE11),Datos!DE11," - ")</f>
        <v xml:space="preserve"> - </v>
      </c>
      <c r="S11" s="347"/>
      <c r="T11" s="347"/>
      <c r="U11" s="225" t="str">
        <f>IF(ISNUMBER(Datos!AS11/1),Datos!AS11/1," - ")</f>
        <v xml:space="preserve"> - </v>
      </c>
      <c r="V11" s="480" t="str">
        <f>IF(ISNUMBER(U11/(Datos!BM11/factor_trimestre)),U11/(Datos!BM11/factor_trimestre)," - ")</f>
        <v xml:space="preserve"> - </v>
      </c>
      <c r="W11" s="225" t="str">
        <f>IF(ISNUMBER(Datos!EO11),Datos!EO11," - ")</f>
        <v xml:space="preserve"> - </v>
      </c>
      <c r="X11" s="990" t="e">
        <f>(W11/Datos!ER11)*factor_trimestre</f>
        <v>#VALUE!</v>
      </c>
      <c r="Y11" s="618"/>
      <c r="Z11" s="224">
        <f>IF(ISNUMBER(Datos!BY11+Datos!BZ11),Datos!BY11+Datos!BZ11," - ")</f>
        <v>0</v>
      </c>
      <c r="AA11" s="480">
        <f>IF(ISNUMBER((Z11*factor_trimestre)/DatosB!CN11),(Z11*factor_trimestre)/DatosB!CN11,"-")</f>
        <v>0</v>
      </c>
      <c r="AB11" s="224" t="str">
        <f>IF(ISNUMBER(IF(J_V="SI",Datos!K11,Datos!K11+Datos!AA11)-IF(Monitorios="SI",Datos!CC11,0)),
                          IF(J_V="SI",Datos!K11,Datos!K11+Datos!AA11)-IF(Monitorios="SI",Datos!CC11,0),
                          " - ")</f>
        <v xml:space="preserve"> - </v>
      </c>
      <c r="AC11" s="225" t="str">
        <f>IF(ISNUMBER(Datos!Q11),Datos!Q11," - ")</f>
        <v xml:space="preserve"> - </v>
      </c>
      <c r="AD11" s="333"/>
      <c r="AE11" s="483"/>
      <c r="AF11" s="331" t="str">
        <f>IF(ISNUMBER(IF(J_V="SI",Datos!L11,Datos!L11+Datos!AB11)-IF(Monitorios="SI",Datos!CD11,0)),
                          IF(J_V="SI",Datos!L11,Datos!L11+Datos!AB11)-IF(Monitorios="SI",Datos!CD11,0),
                          " - ")</f>
        <v xml:space="preserve"> - </v>
      </c>
      <c r="AG11" s="333"/>
      <c r="AH11" s="333" t="str">
        <f>IF(ISNUMBER(Datos!AB11),Datos!AB11,"-")</f>
        <v>-</v>
      </c>
      <c r="AI11" s="333"/>
      <c r="AJ11" s="333"/>
      <c r="AK11" s="333"/>
      <c r="AL11" s="478"/>
      <c r="AM11" s="334" t="str">
        <f>IF(ISNUMBER(Datos!R11),Datos!R11," - ")</f>
        <v xml:space="preserve"> - </v>
      </c>
      <c r="AN11" s="333"/>
      <c r="AO11" s="333"/>
      <c r="AP11" s="333"/>
      <c r="AQ11" s="333"/>
      <c r="AR11" s="333"/>
      <c r="AS11" s="333" t="str">
        <f>IF(ISNUMBER(Datos!BV11),Datos!BV11," - ")</f>
        <v xml:space="preserve"> - </v>
      </c>
      <c r="AT11" s="224" t="str">
        <f>IF(ISNUMBER(Datos!CK11),Datos!CK11," - ")</f>
        <v xml:space="preserve"> - </v>
      </c>
      <c r="AU11" s="297" t="str">
        <f>IF(ISNUMBER(Datos!CL11),Datos!CL11," - ")</f>
        <v xml:space="preserve"> - </v>
      </c>
      <c r="AV11" s="226" t="str">
        <f>IF(ISNUMBER(Datos!CM11),Datos!CM11," - ")</f>
        <v xml:space="preserve"> - </v>
      </c>
      <c r="AW11" s="297" t="str">
        <f>IF(ISNUMBER(Datos!DV11),Datos!DV11," - ")</f>
        <v xml:space="preserve"> - </v>
      </c>
      <c r="AX11" s="226" t="str">
        <f>IF(ISNUMBER(Datos!DW11),Datos!DW11," - ")</f>
        <v xml:space="preserve"> - </v>
      </c>
      <c r="AY11" s="297" t="str">
        <f>IF(ISNUMBER(Datos!DX11),Datos!DX11," - ")</f>
        <v xml:space="preserve"> - </v>
      </c>
      <c r="AZ11" s="226" t="str">
        <f>IF(ISNUMBER(Datos!DY11),Datos!DY11," - ")</f>
        <v xml:space="preserve"> - </v>
      </c>
      <c r="BA11" s="297"/>
      <c r="BB11" s="226"/>
      <c r="BC11" s="224" t="str">
        <f>IF(ISNUMBER(Datos!M11),Datos!M11," - ")</f>
        <v xml:space="preserve"> - </v>
      </c>
      <c r="BD11" s="228" t="str">
        <f>IF(ISNUMBER(Datos!N11),Datos!N11," - ")</f>
        <v xml:space="preserve"> - </v>
      </c>
      <c r="BE11" s="228" t="str">
        <f>IF(ISNUMBER(Datos!BW11),Datos!BW11," - ")</f>
        <v xml:space="preserve"> - </v>
      </c>
      <c r="BF11" s="227" t="str">
        <f>IF(ISNUMBER(Datos!BX11),Datos!BX11," - ")</f>
        <v xml:space="preserve"> - </v>
      </c>
      <c r="BG11" s="242" t="str">
        <f>IF(ISNUMBER(IF(J_V="SI",Datos!K11/Datos!J11,(Datos!K11+Datos!AA11)/(Datos!J11+Datos!Z11))),IF(J_V="SI",Datos!K11/Datos!J11,(Datos!K11+Datos!AA11)/(Datos!J11+Datos!Z11))," - ")</f>
        <v xml:space="preserve"> - </v>
      </c>
      <c r="BH11" s="259" t="str">
        <f>IF(ISNUMBER(((IF(J_V="SI",Datos!L11/Datos!K11,(Datos!L11+Datos!AB11)/(Datos!K11+Datos!AA11)))*11)/factor_trimestre),((IF(J_V="SI",Datos!L11/Datos!K11,(Datos!L11+Datos!AB11)/(Datos!K11+Datos!AA11)))*11)/factor_trimestre," - ")</f>
        <v xml:space="preserve"> - </v>
      </c>
      <c r="BI11" s="242"/>
      <c r="BJ11" s="229" t="str">
        <f>IF(ISNUMBER(Datos!CI11/Datos!CJ11),Datos!CI11/Datos!CJ11," - ")</f>
        <v xml:space="preserve"> - </v>
      </c>
      <c r="BK11" s="359" t="str">
        <f>IF(ISNUMBER(Datos!CJ11),Datos!CJ11," - ")</f>
        <v xml:space="preserve"> - </v>
      </c>
      <c r="BL11" s="229" t="str">
        <f>IF(ISNUMBER((I11-AB11+L11)/(F11)),(I11-AB11+L11)/(F11)," - ")</f>
        <v xml:space="preserve"> - </v>
      </c>
      <c r="BM11" s="610" t="str">
        <f>IF(ISNUMBER((Datos!P11-Datos!Q11+Datos!DE11)/(Datos!R11-Datos!P11+Datos!Q11-Datos!DE11)),(Datos!P11-Datos!Q11+Datos!DE11)/(Datos!R11-Datos!P11+Datos!Q11-Datos!DE11)," - ")</f>
        <v xml:space="preserve"> - </v>
      </c>
      <c r="BN11" s="602"/>
      <c r="BO11" s="602"/>
      <c r="BP11" s="265" t="str">
        <f>IF(ISNUMBER(Datos!EV11),Datos!EV11," - ")</f>
        <v xml:space="preserve"> - </v>
      </c>
      <c r="BQ11" s="265" t="str">
        <f>IF(ISNUMBER(Datos!CW11),Datos!CW11," - ")</f>
        <v xml:space="preserve"> - </v>
      </c>
      <c r="BR11" s="265"/>
      <c r="BS11" s="265"/>
      <c r="BT11" s="265">
        <f>Datos!CX11</f>
        <v>0</v>
      </c>
      <c r="BU11" s="479">
        <f>Datos!DU11</f>
        <v>0</v>
      </c>
      <c r="BV11" s="1106">
        <f>Datos!ER11/factor_trimestre</f>
        <v>360.81818181818181</v>
      </c>
      <c r="BZ11" s="1185">
        <f>Datos!EZ11</f>
        <v>0</v>
      </c>
    </row>
    <row r="12" spans="1:78" ht="15" thickBot="1">
      <c r="A12" s="500">
        <f>Datos!AO12</f>
        <v>6</v>
      </c>
      <c r="B12" s="506" t="s">
        <v>246</v>
      </c>
      <c r="C12" s="7" t="str">
        <f>Datos!A12</f>
        <v xml:space="preserve">Jdos. 1ª Instª. e Instr./Secc. Civil y de Inst. TI                      </v>
      </c>
      <c r="D12" s="507"/>
      <c r="E12" s="259">
        <f>IF(ISNUMBER(Datos!AQ12),Datos!AQ12," - ")</f>
        <v>6</v>
      </c>
      <c r="F12" s="224" t="str">
        <f>IF(ISNUMBER(AF12+AB12-I12-L12),AF12+AB12-I12-L12," - ")</f>
        <v xml:space="preserve"> - </v>
      </c>
      <c r="G12" s="332" t="str">
        <f>IF(ISNUMBER(IF(J_V="SI",Datos!I12,Datos!I12+Datos!Y12)-IF(Monitorios="SI",Datos!CA12,0)),
                          IF(J_V="SI",Datos!I12,Datos!I12+Datos!Y12)-IF(Monitorios="SI",Datos!CA12,0),
                          " - ")</f>
        <v xml:space="preserve"> - </v>
      </c>
      <c r="H12" s="225"/>
      <c r="I12" s="224" t="str">
        <f>IF(ISNUMBER(Datos!DC12),Datos!DC12," - ")</f>
        <v xml:space="preserve"> - </v>
      </c>
      <c r="J12" s="225" t="str">
        <f>IF(ISNUMBER(Datos!DB12),Datos!DB12," - ")</f>
        <v xml:space="preserve"> - </v>
      </c>
      <c r="K12" s="333" t="str">
        <f>IF(ISNUMBER(Datos!DD12),Datos!DD12," - ")</f>
        <v xml:space="preserve"> - </v>
      </c>
      <c r="L12" s="225">
        <f>IF(ISNUMBER(Datos!DF12),Datos!DF12,0)</f>
        <v>0</v>
      </c>
      <c r="M12" s="225">
        <f>IF(ISNUMBER(Datos!DM12),Datos!DM12,0)</f>
        <v>0</v>
      </c>
      <c r="N12" s="333">
        <f>IF(ISNUMBER(Datos!Z12),Datos!Z12," - ")</f>
        <v>183</v>
      </c>
      <c r="O12" s="333"/>
      <c r="P12" s="333"/>
      <c r="Q12" s="225">
        <f>IF(ISNUMBER(Datos!P12),Datos!P12,0)</f>
        <v>639</v>
      </c>
      <c r="R12" s="225" t="str">
        <f>IF(ISNUMBER(Datos!DE12),Datos!DE12," - ")</f>
        <v xml:space="preserve"> - </v>
      </c>
      <c r="S12" s="347"/>
      <c r="T12" s="347"/>
      <c r="U12" s="225" t="str">
        <f>IF(ISNUMBER(Datos!AS12/1),Datos!AS12/1," - ")</f>
        <v xml:space="preserve"> - </v>
      </c>
      <c r="V12" s="480" t="str">
        <f>IF(ISNUMBER(U12/(Datos!BM12/factor_trimestre)),U12/(Datos!BM12/factor_trimestre)," - ")</f>
        <v xml:space="preserve"> - </v>
      </c>
      <c r="W12" s="225" t="str">
        <f>IF(ISNUMBER(Datos!EO12),Datos!EO12," - ")</f>
        <v xml:space="preserve"> - </v>
      </c>
      <c r="X12" s="990" t="e">
        <f>(W12/Datos!ER12)*factor_trimestre</f>
        <v>#VALUE!</v>
      </c>
      <c r="Y12" s="618" t="str">
        <f>IF(ISNUMBER(Datos!CB12),Datos!CB12," - ")</f>
        <v xml:space="preserve"> - </v>
      </c>
      <c r="Z12" s="224" t="str">
        <f>IF(ISNUMBER(Datos!BY12),Datos!BY12," - ")</f>
        <v xml:space="preserve"> - </v>
      </c>
      <c r="AA12" s="480" t="str">
        <f>IF(ISNUMBER((Z12*factor_trimestre)/DatosB!CN12),(Z12*factor_trimestre)/DatosB!CN12,"-")</f>
        <v>-</v>
      </c>
      <c r="AB12" s="224" t="str">
        <f>IF(ISNUMBER(IF(J_V="SI",Datos!K12,Datos!K12+Datos!AA12)-IF(Monitorios="SI",Datos!CC12,0)),
                          IF(J_V="SI",Datos!K12,Datos!K12+Datos!AA12)-IF(Monitorios="SI",Datos!CC12,0),
                          " - ")</f>
        <v xml:space="preserve"> - </v>
      </c>
      <c r="AC12" s="225">
        <f>IF(ISNUMBER(Datos!Q12),Datos!Q12," - ")</f>
        <v>232</v>
      </c>
      <c r="AD12" s="333" t="str">
        <f>IF(ISNUMBER(Datos!CC12),Datos!CC12," - ")</f>
        <v xml:space="preserve"> - </v>
      </c>
      <c r="AE12" s="483" t="str">
        <f>IF(ISNUMBER(Datos!EM12),Datos!EM12," - ")</f>
        <v xml:space="preserve"> - </v>
      </c>
      <c r="AF12" s="331" t="str">
        <f>IF(ISNUMBER(IF(J_V="SI",Datos!L12,Datos!L12+Datos!AB12)-IF(Monitorios="SI",Datos!CD12,0)),
                          IF(J_V="SI",Datos!L12,Datos!L12+Datos!AB12)-IF(Monitorios="SI",Datos!CD12,0),
                          " - ")</f>
        <v xml:space="preserve"> - </v>
      </c>
      <c r="AG12" s="333"/>
      <c r="AH12" s="333">
        <f>IF(ISNUMBER(Datos!AB12),Datos!AB12,"-")</f>
        <v>132</v>
      </c>
      <c r="AI12" s="333" t="str">
        <f>IF(ISNUMBER(Datos!CD12),Datos!CD12,"-")</f>
        <v>-</v>
      </c>
      <c r="AJ12" s="333" t="str">
        <f>IF(ISNUMBER(Datos!EN12),Datos!EN12," - ")</f>
        <v xml:space="preserve"> - </v>
      </c>
      <c r="AK12" s="333"/>
      <c r="AL12" s="478"/>
      <c r="AM12" s="334">
        <f>IF(ISNUMBER(Datos!R12),Datos!R12," - ")</f>
        <v>9056</v>
      </c>
      <c r="AN12" s="333"/>
      <c r="AO12" s="333"/>
      <c r="AP12" s="333"/>
      <c r="AQ12" s="333"/>
      <c r="AR12" s="333"/>
      <c r="AS12" s="333" t="str">
        <f>IF(ISNUMBER(Datos!BV12),Datos!BV12," - ")</f>
        <v xml:space="preserve"> - </v>
      </c>
      <c r="AT12" s="224" t="str">
        <f>IF(ISNUMBER(Datos!CK12),Datos!CK12," - ")</f>
        <v xml:space="preserve"> - </v>
      </c>
      <c r="AU12" s="297" t="str">
        <f>IF(ISNUMBER(Datos!CL12),Datos!CL12," - ")</f>
        <v xml:space="preserve"> - </v>
      </c>
      <c r="AV12" s="226" t="str">
        <f>IF(ISNUMBER(Datos!CM12),Datos!CM12," - ")</f>
        <v xml:space="preserve"> - </v>
      </c>
      <c r="AW12" s="297" t="str">
        <f>IF(ISNUMBER(Datos!DV12),Datos!DV12," - ")</f>
        <v xml:space="preserve"> - </v>
      </c>
      <c r="AX12" s="226" t="str">
        <f>IF(ISNUMBER(Datos!DW12),Datos!DW12," - ")</f>
        <v xml:space="preserve"> - </v>
      </c>
      <c r="AY12" s="297" t="str">
        <f>IF(ISNUMBER(Datos!DX12),Datos!DX12," - ")</f>
        <v xml:space="preserve"> - </v>
      </c>
      <c r="AZ12" s="226" t="str">
        <f>IF(ISNUMBER(Datos!DY12),Datos!DY12," - ")</f>
        <v xml:space="preserve"> - </v>
      </c>
      <c r="BA12" s="297"/>
      <c r="BB12" s="226"/>
      <c r="BC12" s="224">
        <f>IF(ISNUMBER(Datos!M12),Datos!M12," - ")</f>
        <v>442</v>
      </c>
      <c r="BD12" s="228">
        <f>IF(ISNUMBER(Datos!N12),Datos!N12," - ")</f>
        <v>1295</v>
      </c>
      <c r="BE12" s="228" t="str">
        <f>IF(ISNUMBER(Datos!BW12),Datos!BW12," - ")</f>
        <v xml:space="preserve"> - </v>
      </c>
      <c r="BF12" s="227" t="str">
        <f>IF(ISNUMBER(Datos!BX12),Datos!BX12," - ")</f>
        <v xml:space="preserve"> - </v>
      </c>
      <c r="BG12" s="242">
        <f>IF(ISNUMBER(IF(J_V="SI",Datos!K12/Datos!J12,(Datos!K12+Datos!AA12)/(Datos!J12+Datos!Z12))),IF(J_V="SI",Datos!K12/Datos!J12,(Datos!K12+Datos!AA12)/(Datos!J12+Datos!Z12))," - ")</f>
        <v>1.5804066543438078</v>
      </c>
      <c r="BH12" s="259">
        <f>IF(ISNUMBER(((IF(J_V="SI",Datos!L12/Datos!K12,(Datos!L12+Datos!AB12)/(Datos!K12+Datos!AA12)))*11)/factor_trimestre),((IF(J_V="SI",Datos!L12/Datos!K12,(Datos!L12+Datos!AB12)/(Datos!K12+Datos!AA12)))*11)/factor_trimestre," - ")</f>
        <v>7.1005847953216374</v>
      </c>
      <c r="BI12" s="242"/>
      <c r="BJ12" s="229" t="str">
        <f>IF(ISNUMBER(Datos!CI12/Datos!CJ12),Datos!CI12/Datos!CJ12," - ")</f>
        <v xml:space="preserve"> - </v>
      </c>
      <c r="BK12" s="359" t="str">
        <f>IF(ISNUMBER(Datos!CJ12),Datos!CJ12," - ")</f>
        <v xml:space="preserve"> - </v>
      </c>
      <c r="BL12" s="229" t="str">
        <f>IF(ISNUMBER((I12-AB12+L12)/(F12)),(I12-AB12+L12)/(F12)," - ")</f>
        <v xml:space="preserve"> - </v>
      </c>
      <c r="BM12" s="610">
        <f>IF(ISNUMBER((Datos!P12-Datos!Q12+Datos!DE12)/(Datos!R12-Datos!P12+Datos!Q12-Datos!DE12)),(Datos!P12-Datos!Q12+Datos!DE12)/(Datos!R12-Datos!P12+Datos!Q12-Datos!DE12)," - ")</f>
        <v>4.7057463290553818E-2</v>
      </c>
      <c r="BN12" s="602"/>
      <c r="BO12" s="602"/>
      <c r="BP12" s="265" t="str">
        <f>IF(ISNUMBER(Datos!EV12),Datos!EV12," - ")</f>
        <v xml:space="preserve"> - </v>
      </c>
      <c r="BQ12" s="265" t="str">
        <f>IF(ISNUMBER(Datos!CW12),Datos!CW12," - ")</f>
        <v xml:space="preserve"> - </v>
      </c>
      <c r="BR12" s="265"/>
      <c r="BS12" s="265"/>
      <c r="BT12" s="265">
        <f>Datos!CX12</f>
        <v>0</v>
      </c>
      <c r="BU12" s="479">
        <f>Datos!DU12</f>
        <v>0</v>
      </c>
      <c r="BV12" s="1106">
        <f>Datos!ER12/factor_trimestre</f>
        <v>185.45454545454547</v>
      </c>
      <c r="BZ12" s="1185">
        <f>Datos!EZ12</f>
        <v>0</v>
      </c>
    </row>
    <row r="13" spans="1:78" ht="15.75" thickTop="1" thickBot="1">
      <c r="A13" s="177"/>
      <c r="B13" s="177"/>
      <c r="C13" s="862" t="str">
        <f>Datos!A13</f>
        <v>TOTAL</v>
      </c>
      <c r="D13" s="896"/>
      <c r="E13" s="1163">
        <f t="shared" ref="E13:Z13" si="0">SUBTOTAL(9,E8:E12)</f>
        <v>6</v>
      </c>
      <c r="F13" s="897">
        <f t="shared" si="0"/>
        <v>98</v>
      </c>
      <c r="G13" s="897">
        <f t="shared" si="0"/>
        <v>98</v>
      </c>
      <c r="H13" s="898">
        <f t="shared" si="0"/>
        <v>0</v>
      </c>
      <c r="I13" s="897">
        <f t="shared" si="0"/>
        <v>0</v>
      </c>
      <c r="J13" s="866">
        <f t="shared" si="0"/>
        <v>0</v>
      </c>
      <c r="K13" s="866">
        <f t="shared" si="0"/>
        <v>0</v>
      </c>
      <c r="L13" s="898">
        <f t="shared" si="0"/>
        <v>0</v>
      </c>
      <c r="M13" s="898">
        <f t="shared" si="0"/>
        <v>0</v>
      </c>
      <c r="N13" s="898">
        <f t="shared" si="0"/>
        <v>183</v>
      </c>
      <c r="O13" s="899">
        <f t="shared" si="0"/>
        <v>0</v>
      </c>
      <c r="P13" s="899">
        <f t="shared" si="0"/>
        <v>0</v>
      </c>
      <c r="Q13" s="898">
        <f t="shared" si="0"/>
        <v>648</v>
      </c>
      <c r="R13" s="898">
        <f t="shared" si="0"/>
        <v>0</v>
      </c>
      <c r="S13" s="900">
        <f t="shared" si="0"/>
        <v>0</v>
      </c>
      <c r="T13" s="900">
        <f t="shared" si="0"/>
        <v>0</v>
      </c>
      <c r="U13" s="898">
        <f t="shared" si="0"/>
        <v>0</v>
      </c>
      <c r="V13" s="1113">
        <f t="shared" si="0"/>
        <v>0</v>
      </c>
      <c r="W13" s="866">
        <f t="shared" si="0"/>
        <v>0</v>
      </c>
      <c r="X13" s="868" t="e">
        <f t="shared" si="0"/>
        <v>#VALUE!</v>
      </c>
      <c r="Y13" s="899">
        <f t="shared" si="0"/>
        <v>0</v>
      </c>
      <c r="Z13" s="898">
        <f t="shared" si="0"/>
        <v>0</v>
      </c>
      <c r="AA13" s="901">
        <f>IF(ISNUMBER((Z13*factor_trimestre)/Datos!CN13),(Z13*factor_trimestre)/Datos!CN13,"-")</f>
        <v>0</v>
      </c>
      <c r="AB13" s="898">
        <f t="shared" ref="AB13:BF13" si="1">SUBTOTAL(9,AB8:AB12)</f>
        <v>12</v>
      </c>
      <c r="AC13" s="898">
        <f t="shared" si="1"/>
        <v>233</v>
      </c>
      <c r="AD13" s="898">
        <f t="shared" si="1"/>
        <v>0</v>
      </c>
      <c r="AE13" s="898">
        <f t="shared" si="1"/>
        <v>0</v>
      </c>
      <c r="AF13" s="898">
        <f t="shared" si="1"/>
        <v>97</v>
      </c>
      <c r="AG13" s="898">
        <f t="shared" si="1"/>
        <v>0</v>
      </c>
      <c r="AH13" s="898">
        <f t="shared" si="1"/>
        <v>132</v>
      </c>
      <c r="AI13" s="898">
        <f t="shared" si="1"/>
        <v>0</v>
      </c>
      <c r="AJ13" s="898">
        <f t="shared" si="1"/>
        <v>0</v>
      </c>
      <c r="AK13" s="898">
        <f t="shared" si="1"/>
        <v>0</v>
      </c>
      <c r="AL13" s="898">
        <f t="shared" si="1"/>
        <v>0</v>
      </c>
      <c r="AM13" s="898">
        <f t="shared" si="1"/>
        <v>9123</v>
      </c>
      <c r="AN13" s="898">
        <f t="shared" si="1"/>
        <v>0</v>
      </c>
      <c r="AO13" s="898">
        <f t="shared" si="1"/>
        <v>0</v>
      </c>
      <c r="AP13" s="898">
        <f t="shared" si="1"/>
        <v>0</v>
      </c>
      <c r="AQ13" s="898">
        <f t="shared" si="1"/>
        <v>0</v>
      </c>
      <c r="AR13" s="898">
        <f t="shared" si="1"/>
        <v>0</v>
      </c>
      <c r="AS13" s="898">
        <f t="shared" si="1"/>
        <v>0</v>
      </c>
      <c r="AT13" s="898">
        <f t="shared" si="1"/>
        <v>0</v>
      </c>
      <c r="AU13" s="898">
        <f t="shared" si="1"/>
        <v>0</v>
      </c>
      <c r="AV13" s="898">
        <f t="shared" si="1"/>
        <v>0</v>
      </c>
      <c r="AW13" s="898">
        <f t="shared" si="1"/>
        <v>0</v>
      </c>
      <c r="AX13" s="898">
        <f t="shared" si="1"/>
        <v>0</v>
      </c>
      <c r="AY13" s="898">
        <f t="shared" si="1"/>
        <v>0</v>
      </c>
      <c r="AZ13" s="898">
        <f t="shared" si="1"/>
        <v>0</v>
      </c>
      <c r="BA13" s="898">
        <f t="shared" si="1"/>
        <v>0</v>
      </c>
      <c r="BB13" s="898">
        <f t="shared" si="1"/>
        <v>0</v>
      </c>
      <c r="BC13" s="898">
        <f t="shared" si="1"/>
        <v>450</v>
      </c>
      <c r="BD13" s="898">
        <f t="shared" si="1"/>
        <v>1299</v>
      </c>
      <c r="BE13" s="898">
        <f t="shared" si="1"/>
        <v>0</v>
      </c>
      <c r="BF13" s="898">
        <f t="shared" si="1"/>
        <v>0</v>
      </c>
      <c r="BG13" s="898">
        <f>IF(ISNUMBER(Datos!K13/Datos!J13),Datos!K13/Datos!J13," - ")</f>
        <v>1.653342522398346</v>
      </c>
      <c r="BH13" s="902">
        <f>IF(ISNUMBER(((Datos!L13/Datos!K13)*11)/factor_trimestre),((Datos!L13/Datos!K13)*11)/factor_trimestre," - ")</f>
        <v>7.5481450604418505</v>
      </c>
      <c r="BI13" s="898">
        <f>IF(ISNUMBER('Resol  Asuntos'!D13/NºAsuntos!G13),'Resol  Asuntos'!D13/NºAsuntos!G13," - ")</f>
        <v>0.17462165308498254</v>
      </c>
      <c r="BJ13" s="898" t="str">
        <f>IF(ISNUMBER(Datos!CI13/Datos!CJ13),Datos!CI13/Datos!CJ13," - ")</f>
        <v xml:space="preserve"> - </v>
      </c>
      <c r="BK13" s="898">
        <f>SUBTOTAL(9,BK8:BK12)</f>
        <v>0</v>
      </c>
      <c r="BL13" s="898">
        <f>IF(ISNUMBER((I13-AB13+L13)/(F13)),(I13-AB13+L13)/(F13)," - ")</f>
        <v>-0.12244897959183673</v>
      </c>
      <c r="BM13" s="903">
        <f>SUBTOTAL(9,BM9:BM12)</f>
        <v>0.18265068362953688</v>
      </c>
      <c r="BN13" s="898">
        <f t="shared" ref="BN13:BV13" si="2">SUBTOTAL(9,BN8:BN12)</f>
        <v>0</v>
      </c>
      <c r="BO13" s="898">
        <f t="shared" si="2"/>
        <v>0</v>
      </c>
      <c r="BP13" s="898">
        <f t="shared" si="2"/>
        <v>0</v>
      </c>
      <c r="BQ13" s="898">
        <f t="shared" si="2"/>
        <v>0</v>
      </c>
      <c r="BR13" s="898">
        <f t="shared" si="2"/>
        <v>0</v>
      </c>
      <c r="BS13" s="898">
        <f t="shared" si="2"/>
        <v>0</v>
      </c>
      <c r="BT13" s="898">
        <f t="shared" si="2"/>
        <v>0</v>
      </c>
      <c r="BU13" s="898">
        <f t="shared" si="2"/>
        <v>0</v>
      </c>
      <c r="BV13" s="908">
        <f t="shared" si="2"/>
        <v>1309.909090909091</v>
      </c>
      <c r="BZ13" s="1185"/>
    </row>
    <row r="14" spans="1:78" ht="15" thickTop="1">
      <c r="A14" s="509"/>
      <c r="B14" s="509"/>
      <c r="C14" s="285" t="str">
        <f>Datos!A14</f>
        <v xml:space="preserve">Jurisdicción Penal ( 2 ):                      </v>
      </c>
      <c r="D14" s="510"/>
      <c r="E14" s="511"/>
      <c r="F14" s="512"/>
      <c r="G14" s="512"/>
      <c r="H14" s="498"/>
      <c r="I14" s="497"/>
      <c r="J14" s="216"/>
      <c r="K14" s="216"/>
      <c r="L14" s="498"/>
      <c r="M14" s="225"/>
      <c r="N14" s="236"/>
      <c r="O14" s="498"/>
      <c r="P14" s="498"/>
      <c r="Q14" s="225"/>
      <c r="R14" s="225"/>
      <c r="S14" s="499"/>
      <c r="T14" s="499"/>
      <c r="U14" s="225"/>
      <c r="V14" s="336"/>
      <c r="W14" s="299"/>
      <c r="X14" s="991"/>
      <c r="Y14" s="608"/>
      <c r="Z14" s="224"/>
      <c r="AA14" s="477"/>
      <c r="AB14" s="224"/>
      <c r="AC14" s="225"/>
      <c r="AD14" s="236"/>
      <c r="AE14" s="236"/>
      <c r="AF14" s="497"/>
      <c r="AG14" s="333"/>
      <c r="AH14" s="333"/>
      <c r="AI14" s="333"/>
      <c r="AJ14" s="333"/>
      <c r="AK14" s="333"/>
      <c r="AL14" s="478"/>
      <c r="AM14" s="334"/>
      <c r="AN14" s="333"/>
      <c r="AO14" s="333"/>
      <c r="AP14" s="333"/>
      <c r="AQ14" s="333"/>
      <c r="AR14" s="333"/>
      <c r="AS14" s="333"/>
      <c r="AT14" s="224"/>
      <c r="AU14" s="297"/>
      <c r="AV14" s="226"/>
      <c r="AW14" s="297"/>
      <c r="AX14" s="226"/>
      <c r="AY14" s="297"/>
      <c r="AZ14" s="226"/>
      <c r="BA14" s="297"/>
      <c r="BB14" s="226"/>
      <c r="BC14" s="224"/>
      <c r="BD14" s="228"/>
      <c r="BE14" s="228"/>
      <c r="BF14" s="227"/>
      <c r="BG14" s="242"/>
      <c r="BH14" s="259"/>
      <c r="BI14" s="242"/>
      <c r="BJ14" s="229"/>
      <c r="BK14" s="359"/>
      <c r="BL14" s="229"/>
      <c r="BM14" s="303"/>
      <c r="BN14" s="585"/>
      <c r="BO14" s="585"/>
      <c r="BP14" s="265"/>
      <c r="BQ14" s="265"/>
      <c r="BR14" s="511"/>
      <c r="BS14" s="511"/>
      <c r="BT14" s="265"/>
      <c r="BU14" s="479"/>
      <c r="BV14" s="1107"/>
      <c r="BZ14" s="1185">
        <f>Datos!EZ14</f>
        <v>0</v>
      </c>
    </row>
    <row r="15" spans="1:78" s="598" customFormat="1" ht="14.25">
      <c r="A15" s="592">
        <f>Datos!AO15</f>
        <v>0</v>
      </c>
      <c r="B15" s="593" t="s">
        <v>396</v>
      </c>
      <c r="C15" s="599" t="str">
        <f>Datos!A15</f>
        <v xml:space="preserve">Jdos. Instrucción                               </v>
      </c>
      <c r="D15" s="600"/>
      <c r="E15" s="1164">
        <f>IF(ISNUMBER(Datos!AQ15),Datos!AQ15," - ")</f>
        <v>0</v>
      </c>
      <c r="F15" s="594" t="str">
        <f>IF(ISNUMBER(AF15+AB15-Datos!J15-L15),AF15+AB15-Datos!J15-L15," - ")</f>
        <v xml:space="preserve"> - </v>
      </c>
      <c r="G15" s="597" t="str">
        <f>IF(ISNUMBER(IF(D_I="SI",Datos!I15,Datos!I15+Datos!AC15)),IF(D_I="SI",Datos!I15,Datos!I15+Datos!AC15)," - ")</f>
        <v xml:space="preserve"> - </v>
      </c>
      <c r="H15" s="601"/>
      <c r="I15" s="594" t="str">
        <f>IF(ISNUMBER(Datos!DC15),Datos!DC15," - ")</f>
        <v xml:space="preserve"> - </v>
      </c>
      <c r="J15" s="225" t="str">
        <f>IF(ISNUMBER(Datos!DC15),Datos!DC15," - ")</f>
        <v xml:space="preserve"> - </v>
      </c>
      <c r="K15" s="611"/>
      <c r="L15" s="601">
        <f>IF(ISNUMBER(Datos!DF15),Datos!DF15,0)</f>
        <v>0</v>
      </c>
      <c r="M15" s="225">
        <f>IF(ISNUMBER(Datos!DM15),Datos!DM15,0)</f>
        <v>0</v>
      </c>
      <c r="N15" s="333"/>
      <c r="O15" s="611" t="str">
        <f>IF(ISNUMBER(Datos!EB15),Datos!EB15," - ")</f>
        <v xml:space="preserve"> - </v>
      </c>
      <c r="P15" s="611" t="str">
        <f>IF(ISNUMBER(Datos!EC15),Datos!EC15," - ")</f>
        <v xml:space="preserve"> - </v>
      </c>
      <c r="Q15" s="225">
        <f>IF(ISNUMBER(Datos!P15),Datos!P15,0)</f>
        <v>0</v>
      </c>
      <c r="R15" s="225" t="str">
        <f>IF(ISNUMBER(Datos!DE15),Datos!DE15," - ")</f>
        <v xml:space="preserve"> - </v>
      </c>
      <c r="S15" s="621" t="str">
        <f>IF(ISNUMBER(Datos!EB15*factor_trimestre/Datos!EE15),Datos!EB15*factor_trimestre/Datos!EE15," - ")</f>
        <v xml:space="preserve"> - </v>
      </c>
      <c r="T15" s="621" t="str">
        <f>IF(ISNUMBER(Datos!EC15*factor_trimestre/Datos!EF15),Datos!EC15*factor_trimestre/Datos!EF15," - ")</f>
        <v xml:space="preserve"> - </v>
      </c>
      <c r="U15" s="225" t="str">
        <f>IF(ISNUMBER((Datos!AS15+Datos!AT15)),(Datos!AS15+Datos!AT15)," - ")</f>
        <v xml:space="preserve"> - </v>
      </c>
      <c r="V15" s="336" t="str">
        <f>IF(ISNUMBER(U15/(Datos!BM15/factor_trimestre)),U15/(Datos!BM15/factor_trimestre)," - ")</f>
        <v xml:space="preserve"> - </v>
      </c>
      <c r="W15" s="225" t="str">
        <f>IF(ISNUMBER(Datos!EO15),Datos!EO15," - ")</f>
        <v xml:space="preserve"> - </v>
      </c>
      <c r="X15" s="990" t="e">
        <f>(W15/Datos!ER15)*factor_trimestre</f>
        <v>#VALUE!</v>
      </c>
      <c r="Y15" s="619"/>
      <c r="Z15" s="224">
        <f>IF(ISNUMBER(Datos!BY15+Datos!BZ15*1.16),Datos!BY15+Datos!BZ15*1.16," - ")</f>
        <v>0</v>
      </c>
      <c r="AA15" s="336">
        <f>IF(ISNUMBER((Z15*factor_trimestre)/DatosB!CN15),(Z15*factor_trimestre)/DatosB!CN15,"-")</f>
        <v>0</v>
      </c>
      <c r="AB15" s="224" t="str">
        <f>IF(ISNUMBER(IF(D_I="SI",Datos!K15,Datos!K15+Datos!AE15)),IF(D_I="SI",Datos!K15,Datos!K15+Datos!AE15)," - ")</f>
        <v xml:space="preserve"> - </v>
      </c>
      <c r="AC15" s="225" t="str">
        <f>IF(ISNUMBER(Datos!Q15),Datos!Q15," - ")</f>
        <v xml:space="preserve"> - </v>
      </c>
      <c r="AD15" s="333"/>
      <c r="AE15" s="483"/>
      <c r="AF15" s="595" t="str">
        <f>IF(ISNUMBER(IF(D_I="SI",Datos!L15,Datos!L15+Datos!AF15)),IF(D_I="SI",Datos!L15,Datos!L15+Datos!AF15)," - ")</f>
        <v xml:space="preserve"> - </v>
      </c>
      <c r="AG15" s="333"/>
      <c r="AH15" s="333"/>
      <c r="AI15" s="333"/>
      <c r="AJ15" s="333"/>
      <c r="AK15" s="333"/>
      <c r="AL15" s="478"/>
      <c r="AM15" s="334" t="str">
        <f>IF(ISNUMBER(Datos!R15),Datos!R15," - ")</f>
        <v xml:space="preserve"> - </v>
      </c>
      <c r="AN15" s="333"/>
      <c r="AO15" s="333"/>
      <c r="AP15" s="333"/>
      <c r="AQ15" s="333"/>
      <c r="AR15" s="333"/>
      <c r="AS15" s="333" t="str">
        <f>IF(ISNUMBER(Datos!BV15),Datos!BV15," - ")</f>
        <v xml:space="preserve"> - </v>
      </c>
      <c r="AT15" s="224" t="str">
        <f>IF(ISNUMBER(Datos!CK15),Datos!CK15," - ")</f>
        <v xml:space="preserve"> - </v>
      </c>
      <c r="AU15" s="297" t="str">
        <f>IF(ISNUMBER(Datos!CL15),Datos!CL15," - ")</f>
        <v xml:space="preserve"> - </v>
      </c>
      <c r="AV15" s="226" t="str">
        <f>IF(ISNUMBER(Datos!CM15),Datos!CM15," - ")</f>
        <v xml:space="preserve"> - </v>
      </c>
      <c r="AW15" s="297" t="str">
        <f>IF(ISNUMBER(Datos!DV15),Datos!DV15," - ")</f>
        <v xml:space="preserve"> - </v>
      </c>
      <c r="AX15" s="226"/>
      <c r="AY15" s="297"/>
      <c r="AZ15" s="226"/>
      <c r="BA15" s="297"/>
      <c r="BB15" s="226"/>
      <c r="BC15" s="224" t="str">
        <f>IF(ISNUMBER(Datos!M15),Datos!M15," - ")</f>
        <v xml:space="preserve"> - </v>
      </c>
      <c r="BD15" s="228" t="str">
        <f>IF(ISNUMBER(Datos!N15),Datos!N15," - ")</f>
        <v xml:space="preserve"> - </v>
      </c>
      <c r="BE15" s="228" t="str">
        <f>IF(ISNUMBER(Datos!BW15),Datos!BW15," - ")</f>
        <v xml:space="preserve"> - </v>
      </c>
      <c r="BF15" s="227" t="str">
        <f>IF(ISNUMBER(Datos!BX15),Datos!BX15," - ")</f>
        <v xml:space="preserve"> - </v>
      </c>
      <c r="BG15" s="242" t="str">
        <f>IF(ISNUMBER(IF(D_I="SI",Datos!K15/Datos!J15,(Datos!K15+Datos!AE15)/(Datos!J15+Datos!AD15))),IF(D_I="SI",Datos!K15/Datos!J15,(Datos!K15+Datos!AE15)/(Datos!J15+Datos!AD15))," - ")</f>
        <v xml:space="preserve"> - </v>
      </c>
      <c r="BH15" s="259" t="str">
        <f>IF(ISNUMBER(((IF(D_I="SI",Datos!L15/Datos!K15,(Datos!L15+Datos!AF15)/(Datos!K15+Datos!AE15)))*11)/factor_trimestre),((IF(D_I="SI",Datos!L15/Datos!K15,(Datos!L15+Datos!AF15)/(Datos!K15+Datos!AE15)))*11)/factor_trimestre," - ")</f>
        <v xml:space="preserve"> - </v>
      </c>
      <c r="BI15" s="242" t="str">
        <f>IF(ISNUMBER('Resol  Asuntos'!D15/NºAsuntos!G15),'Resol  Asuntos'!D15/NºAsuntos!G15," - ")</f>
        <v xml:space="preserve"> - </v>
      </c>
      <c r="BJ15" s="229" t="str">
        <f>IF(ISNUMBER(Datos!CI15/Datos!CJ15),Datos!CI15/Datos!CJ15," - ")</f>
        <v xml:space="preserve"> - </v>
      </c>
      <c r="BK15" s="359"/>
      <c r="BL15" s="229" t="str">
        <f>IF(ISNUMBER((J15-AB15+L15)/(F15)),(J15-AB15+L15)/(F15)," - ")</f>
        <v xml:space="preserve"> - </v>
      </c>
      <c r="BM15" s="303" t="str">
        <f>IF(ISNUMBER((Datos!P15-Datos!Q15+R15)/(Datos!R15-Datos!P15+Datos!Q15-R15)),(Datos!P15-Datos!Q15+R15)/(Datos!R15-Datos!P15+Datos!Q15-R15)," - ")</f>
        <v xml:space="preserve"> - </v>
      </c>
      <c r="BN15" s="632" t="str">
        <f>IF(ISNUMBER(Datos!CS15),Datos!CS15," - ")</f>
        <v xml:space="preserve"> - </v>
      </c>
      <c r="BO15" s="632" t="str">
        <f>IF(ISNUMBER(Datos!EI15),Datos!EI15," - ")</f>
        <v xml:space="preserve"> - </v>
      </c>
      <c r="BP15" s="265" t="str">
        <f>IF(ISNUMBER(Datos!EV15),Datos!EV15," - ")</f>
        <v xml:space="preserve"> - </v>
      </c>
      <c r="BQ15" s="265" t="str">
        <f>IF(ISNUMBER(Datos!CW15),Datos!CW15," - ")</f>
        <v xml:space="preserve"> - </v>
      </c>
      <c r="BR15" s="596"/>
      <c r="BS15" s="596"/>
      <c r="BT15" s="265">
        <f>Datos!CX15</f>
        <v>0</v>
      </c>
      <c r="BU15" s="479">
        <f>Datos!DU15</f>
        <v>0</v>
      </c>
      <c r="BV15" s="1106">
        <f>Datos!ER15/factor_trimestre</f>
        <v>900</v>
      </c>
      <c r="BZ15" s="1185">
        <f>Datos!EZ15</f>
        <v>0</v>
      </c>
    </row>
    <row r="16" spans="1:78" s="598" customFormat="1" ht="14.25">
      <c r="A16" s="592">
        <f>Datos!AO16</f>
        <v>6</v>
      </c>
      <c r="B16" s="593" t="s">
        <v>396</v>
      </c>
      <c r="C16" s="599" t="str">
        <f>Datos!A16</f>
        <v xml:space="preserve">Jdos. 1ª Instª. e Instr./Secc. Civil y de Inst. TI                      </v>
      </c>
      <c r="D16" s="600"/>
      <c r="E16" s="1164">
        <f>IF(ISNUMBER(Datos!AQ16),Datos!AQ16," - ")</f>
        <v>6</v>
      </c>
      <c r="F16" s="594">
        <f>IF(ISNUMBER(AF16+AB16-Datos!J16-L16),AF16+AB16-Datos!J16-L16," - ")</f>
        <v>3108</v>
      </c>
      <c r="G16" s="597">
        <f>IF(ISNUMBER(IF(D_I="SI",Datos!I16,Datos!I16+Datos!AC16)),IF(D_I="SI",Datos!I16,Datos!I16+Datos!AC16)," - ")</f>
        <v>3362</v>
      </c>
      <c r="H16" s="601"/>
      <c r="I16" s="594" t="str">
        <f>IF(ISNUMBER(Datos!DC16),Datos!DC16," - ")</f>
        <v xml:space="preserve"> - </v>
      </c>
      <c r="J16" s="225" t="str">
        <f>IF(ISNUMBER(Datos!DC16),Datos!DC16," - ")</f>
        <v xml:space="preserve"> - </v>
      </c>
      <c r="K16" s="611"/>
      <c r="L16" s="601">
        <f>IF(ISNUMBER(Datos!DF16),Datos!DF16,0)</f>
        <v>0</v>
      </c>
      <c r="M16" s="225">
        <f>IF(ISNUMBER(Datos!DM16),Datos!DM16,0)</f>
        <v>0</v>
      </c>
      <c r="N16" s="333"/>
      <c r="O16" s="611"/>
      <c r="P16" s="611"/>
      <c r="Q16" s="225">
        <f>IF(ISNUMBER(Datos!P16),Datos!P16,0)</f>
        <v>38</v>
      </c>
      <c r="R16" s="225" t="str">
        <f>IF(ISNUMBER(Datos!DE16),Datos!DE16," - ")</f>
        <v xml:space="preserve"> - </v>
      </c>
      <c r="S16" s="621"/>
      <c r="T16" s="621"/>
      <c r="U16" s="225" t="str">
        <f>IF(ISNUMBER(Datos!AS16/1),Datos!AS16/1," - ")</f>
        <v xml:space="preserve"> - </v>
      </c>
      <c r="V16" s="336" t="str">
        <f>IF(ISNUMBER(U16/(Datos!BM16/factor_trimestre)),U16/(Datos!BM16/factor_trimestre)," - ")</f>
        <v xml:space="preserve"> - </v>
      </c>
      <c r="W16" s="225" t="str">
        <f>IF(ISNUMBER(Datos!EO16),Datos!EO16," - ")</f>
        <v xml:space="preserve"> - </v>
      </c>
      <c r="X16" s="990" t="e">
        <f>(W16/Datos!ER16)*factor_trimestre</f>
        <v>#VALUE!</v>
      </c>
      <c r="Y16" s="619"/>
      <c r="Z16" s="224" t="str">
        <f>IF(ISNUMBER(Datos!BY16),Datos!BY16," - ")</f>
        <v xml:space="preserve"> - </v>
      </c>
      <c r="AA16" s="336" t="str">
        <f>IF(ISNUMBER((Z16*factor_trimestre)/DatosB!CN16),(Z16*factor_trimestre)/DatosB!CN16,"-")</f>
        <v>-</v>
      </c>
      <c r="AB16" s="224">
        <f>IF(ISNUMBER(IF(D_I="SI",Datos!K16,Datos!K16+Datos!AE16)),IF(D_I="SI",Datos!K16,Datos!K16+Datos!AE16)," - ")</f>
        <v>1556</v>
      </c>
      <c r="AC16" s="225">
        <f>IF(ISNUMBER(Datos!Q16),Datos!Q16," - ")</f>
        <v>34</v>
      </c>
      <c r="AD16" s="333"/>
      <c r="AE16" s="483"/>
      <c r="AF16" s="595">
        <f>IF(ISNUMBER(IF(D_I="SI",Datos!L16,Datos!L16+Datos!AF16)),IF(D_I="SI",Datos!L16,Datos!L16+Datos!AF16)," - ")</f>
        <v>3347</v>
      </c>
      <c r="AG16" s="333"/>
      <c r="AH16" s="333"/>
      <c r="AI16" s="333"/>
      <c r="AJ16" s="333"/>
      <c r="AK16" s="333"/>
      <c r="AL16" s="478"/>
      <c r="AM16" s="334">
        <f>IF(ISNUMBER(Datos!R16),Datos!R16," - ")</f>
        <v>339</v>
      </c>
      <c r="AN16" s="333"/>
      <c r="AO16" s="333"/>
      <c r="AP16" s="333"/>
      <c r="AQ16" s="333"/>
      <c r="AR16" s="333"/>
      <c r="AS16" s="333" t="str">
        <f>IF(ISNUMBER(Datos!BV16),Datos!BV16," - ")</f>
        <v xml:space="preserve"> - </v>
      </c>
      <c r="AT16" s="224" t="str">
        <f>IF(ISNUMBER(Datos!CK16),Datos!CK16," - ")</f>
        <v xml:space="preserve"> - </v>
      </c>
      <c r="AU16" s="297" t="str">
        <f>IF(ISNUMBER(Datos!CL16),Datos!CL16," - ")</f>
        <v xml:space="preserve"> - </v>
      </c>
      <c r="AV16" s="226" t="str">
        <f>IF(ISNUMBER(Datos!CM16),Datos!CM16," - ")</f>
        <v xml:space="preserve"> - </v>
      </c>
      <c r="AW16" s="297" t="str">
        <f>IF(ISNUMBER(Datos!DV16),Datos!DV16," - ")</f>
        <v xml:space="preserve"> - </v>
      </c>
      <c r="AX16" s="226"/>
      <c r="AY16" s="297"/>
      <c r="AZ16" s="226"/>
      <c r="BA16" s="297"/>
      <c r="BB16" s="226"/>
      <c r="BC16" s="224">
        <f>IF(ISNUMBER(Datos!M16),Datos!M16," - ")</f>
        <v>259</v>
      </c>
      <c r="BD16" s="228">
        <f>IF(ISNUMBER(Datos!N16),Datos!N16," - ")</f>
        <v>803</v>
      </c>
      <c r="BE16" s="228" t="str">
        <f>IF(ISNUMBER(Datos!BW16),Datos!BW16," - ")</f>
        <v xml:space="preserve"> - </v>
      </c>
      <c r="BF16" s="227" t="str">
        <f>IF(ISNUMBER(Datos!BX16),Datos!BX16," - ")</f>
        <v xml:space="preserve"> - </v>
      </c>
      <c r="BG16" s="242">
        <f>IF(ISNUMBER(IF(D_I="SI",Datos!K16/Datos!J16,(Datos!K16+Datos!AE16)/(Datos!J16+Datos!AD16))),IF(D_I="SI",Datos!K16/Datos!J16,(Datos!K16+Datos!AE16)/(Datos!J16+Datos!AD16))," - ")</f>
        <v>0.86685236768802232</v>
      </c>
      <c r="BH16" s="259">
        <f>IF(ISNUMBER(((IF(D_I="SI",Datos!L16/Datos!K16,(Datos!L16+Datos!AF16)/(Datos!K16+Datos!AE16)))*11)/factor_trimestre),((IF(D_I="SI",Datos!L16/Datos!K16,(Datos!L16+Datos!AF16)/(Datos!K16+Datos!AE16)))*11)/factor_trimestre," - ")</f>
        <v>6.4530848329048851</v>
      </c>
      <c r="BI16" s="242">
        <f>IF(ISNUMBER('Resol  Asuntos'!D16/NºAsuntos!G16),'Resol  Asuntos'!D16/NºAsuntos!G16," - ")</f>
        <v>0.16645244215938304</v>
      </c>
      <c r="BJ16" s="229" t="str">
        <f>IF(ISNUMBER(Datos!CI16/Datos!CJ16),Datos!CI16/Datos!CJ16," - ")</f>
        <v xml:space="preserve"> - </v>
      </c>
      <c r="BK16" s="359"/>
      <c r="BL16" s="229" t="str">
        <f>IF(ISNUMBER((J16-AB16+L16)/(F16)),(J16-AB16+L16)/(F16)," - ")</f>
        <v xml:space="preserve"> - </v>
      </c>
      <c r="BM16" s="303" t="str">
        <f>IF(ISNUMBER((Datos!P16-Datos!Q16+R16)/(Datos!R16-Datos!P16+Datos!Q16-R16)),(Datos!P16-Datos!Q16+R16)/(Datos!R16-Datos!P16+Datos!Q16-R16)," - ")</f>
        <v xml:space="preserve"> - </v>
      </c>
      <c r="BN16" s="632" t="str">
        <f>IF(ISNUMBER(Datos!CS16),Datos!CS16," - ")</f>
        <v xml:space="preserve"> - </v>
      </c>
      <c r="BO16" s="632" t="str">
        <f>IF(ISNUMBER(Datos!EI16),Datos!EI16," - ")</f>
        <v xml:space="preserve"> - </v>
      </c>
      <c r="BP16" s="265" t="str">
        <f>IF(ISNUMBER(Datos!EV16),Datos!EV16," - ")</f>
        <v xml:space="preserve"> - </v>
      </c>
      <c r="BQ16" s="265" t="str">
        <f>IF(ISNUMBER(Datos!CW16),Datos!CW16," - ")</f>
        <v xml:space="preserve"> - </v>
      </c>
      <c r="BR16" s="596"/>
      <c r="BS16" s="596"/>
      <c r="BT16" s="265">
        <f>Datos!CX16</f>
        <v>0</v>
      </c>
      <c r="BU16" s="479">
        <f>Datos!DU16</f>
        <v>0</v>
      </c>
      <c r="BV16" s="1106">
        <f>Datos!ER16/factor_trimestre</f>
        <v>272.72727272727275</v>
      </c>
      <c r="BZ16" s="1185">
        <f>Datos!EZ16</f>
        <v>0</v>
      </c>
    </row>
    <row r="17" spans="1:78" ht="15" thickBot="1">
      <c r="A17" s="500">
        <f>Datos!AO17</f>
        <v>1</v>
      </c>
      <c r="B17" s="506" t="s">
        <v>396</v>
      </c>
      <c r="C17" s="7" t="str">
        <f>Datos!A17</f>
        <v>Jdos. Violencia contra la mujer/Secc Viol. TI.</v>
      </c>
      <c r="D17" s="507"/>
      <c r="E17" s="1024">
        <f>IF(ISNUMBER(Datos!AQ17),Datos!AQ17," - ")</f>
        <v>0</v>
      </c>
      <c r="F17" s="224" t="str">
        <f>IF(ISNUMBER(AF17+AB17-I17-L17),AF17+AB17-I17-L17," - ")</f>
        <v xml:space="preserve"> - </v>
      </c>
      <c r="G17" s="332">
        <f>IF(ISNUMBER(IF(D_I="SI",Datos!I17,Datos!I17+Datos!AC17)),IF(D_I="SI",Datos!I17,Datos!I17+Datos!AC17)," - ")</f>
        <v>75</v>
      </c>
      <c r="H17" s="225"/>
      <c r="I17" s="224" t="str">
        <f>IF(ISNUMBER(Datos!DB17),Datos!DB17," - ")</f>
        <v xml:space="preserve"> - </v>
      </c>
      <c r="J17" s="225" t="str">
        <f>IF(ISNUMBER(Datos!DC17),Datos!DC17," - ")</f>
        <v xml:space="preserve"> - </v>
      </c>
      <c r="K17" s="333"/>
      <c r="L17" s="225">
        <f>IF(ISNUMBER(Datos!DF17),Datos!DF17,0)</f>
        <v>0</v>
      </c>
      <c r="M17" s="225">
        <f>IF(ISNUMBER(Datos!DM17),Datos!DM17,0)</f>
        <v>0</v>
      </c>
      <c r="N17" s="333"/>
      <c r="O17" s="333" t="str">
        <f>IF(ISNUMBER(Datos!EB17),Datos!EB17," - ")</f>
        <v xml:space="preserve"> - </v>
      </c>
      <c r="P17" s="333" t="str">
        <f>IF(ISNUMBER(Datos!EC17),Datos!EC17," - ")</f>
        <v xml:space="preserve"> - </v>
      </c>
      <c r="Q17" s="225">
        <f>IF(ISNUMBER(Datos!P17),Datos!P17,0)</f>
        <v>0</v>
      </c>
      <c r="R17" s="225" t="str">
        <f>IF(ISNUMBER(Datos!DE17),Datos!DE17," - ")</f>
        <v xml:space="preserve"> - </v>
      </c>
      <c r="S17" s="347" t="str">
        <f>IF(ISNUMBER(Datos!EB17*factor_trimestre/Datos!EE17),Datos!EB17*factor_trimestre/Datos!EE17," - ")</f>
        <v xml:space="preserve"> - </v>
      </c>
      <c r="T17" s="347" t="str">
        <f>IF(ISNUMBER(Datos!EC17*factor_trimestre/Datos!EF17),Datos!EC17*factor_trimestre/Datos!EF17," - ")</f>
        <v xml:space="preserve"> - </v>
      </c>
      <c r="U17" s="225" t="str">
        <f>IF(ISNUMBER((Datos!AS17+Datos!AT17)),(Datos!AS17+Datos!AT17)," - ")</f>
        <v xml:space="preserve"> - </v>
      </c>
      <c r="V17" s="480" t="str">
        <f>IF(ISNUMBER(U17/(Datos!BM17/factor_trimestre)),U17/(Datos!BM17/factor_trimestre)," - ")</f>
        <v xml:space="preserve"> - </v>
      </c>
      <c r="W17" s="225" t="str">
        <f>IF(ISNUMBER(Datos!EO17),Datos!EO17," - ")</f>
        <v xml:space="preserve"> - </v>
      </c>
      <c r="X17" s="990" t="e">
        <f>(W17/Datos!ER17)*factor_trimestre</f>
        <v>#VALUE!</v>
      </c>
      <c r="Y17" s="620"/>
      <c r="Z17" s="224" t="str">
        <f>IF(ISNUMBER(Datos!BY17+Datos!BZ17),Datos!BY17+Datos!BZ17," - ")</f>
        <v xml:space="preserve"> - </v>
      </c>
      <c r="AA17" s="480" t="str">
        <f>IF(ISNUMBER((Z17*factor_trimestre)/DatosB!CN17),(Z17*factor_trimestre)/DatosB!CN17,"-")</f>
        <v>-</v>
      </c>
      <c r="AB17" s="224">
        <f>IF(ISNUMBER(IF(D_I="SI",Datos!K17,Datos!K17+Datos!AE17)),IF(D_I="SI",Datos!K17,Datos!K17+Datos!AE17)," - ")</f>
        <v>132</v>
      </c>
      <c r="AC17" s="225">
        <f>IF(ISNUMBER(Datos!Q17),Datos!Q17," - ")</f>
        <v>1</v>
      </c>
      <c r="AD17" s="333"/>
      <c r="AE17" s="483"/>
      <c r="AF17" s="331">
        <f>IF(ISNUMBER(Datos!L17),Datos!L17,"-")</f>
        <v>49</v>
      </c>
      <c r="AG17" s="333"/>
      <c r="AH17" s="333"/>
      <c r="AI17" s="333"/>
      <c r="AJ17" s="333"/>
      <c r="AK17" s="333"/>
      <c r="AL17" s="478"/>
      <c r="AM17" s="334">
        <f>IF(ISNUMBER(Datos!R17),Datos!R17," - ")</f>
        <v>6</v>
      </c>
      <c r="AN17" s="333"/>
      <c r="AO17" s="333"/>
      <c r="AP17" s="333"/>
      <c r="AQ17" s="333"/>
      <c r="AR17" s="333"/>
      <c r="AS17" s="333" t="str">
        <f>IF(ISNUMBER(Datos!BV17),Datos!BV17," - ")</f>
        <v xml:space="preserve"> - </v>
      </c>
      <c r="AT17" s="224" t="str">
        <f>IF(ISNUMBER(Datos!CK17),Datos!CK17," - ")</f>
        <v xml:space="preserve"> - </v>
      </c>
      <c r="AU17" s="297" t="str">
        <f>IF(ISNUMBER(Datos!CL17),Datos!CL17," - ")</f>
        <v xml:space="preserve"> - </v>
      </c>
      <c r="AV17" s="226" t="str">
        <f>IF(ISNUMBER(Datos!CM17),Datos!CM17," - ")</f>
        <v xml:space="preserve"> - </v>
      </c>
      <c r="AW17" s="297" t="str">
        <f>IF(ISNUMBER(Datos!DV17),Datos!DV17," - ")</f>
        <v xml:space="preserve"> - </v>
      </c>
      <c r="AX17" s="226"/>
      <c r="AY17" s="297"/>
      <c r="AZ17" s="226"/>
      <c r="BA17" s="297"/>
      <c r="BB17" s="226"/>
      <c r="BC17" s="224">
        <f>IF(ISNUMBER(Datos!M17),Datos!M17," - ")</f>
        <v>18</v>
      </c>
      <c r="BD17" s="228">
        <f>IF(ISNUMBER(Datos!N17),Datos!N17," - ")</f>
        <v>72</v>
      </c>
      <c r="BE17" s="228" t="str">
        <f>IF(ISNUMBER(Datos!BW17),Datos!BW17," - ")</f>
        <v xml:space="preserve"> - </v>
      </c>
      <c r="BF17" s="227" t="str">
        <f>IF(ISNUMBER(Datos!BX17),Datos!BX17," - ")</f>
        <v xml:space="preserve"> - </v>
      </c>
      <c r="BG17" s="242">
        <f>IF(ISNUMBER(IF(D_I="SI",Datos!K17/Datos!J17,(Datos!K17+Datos!AE17)/(Datos!J17+Datos!AD17))),IF(D_I="SI",Datos!K17/Datos!J17,(Datos!K17+Datos!AE17)/(Datos!J17+Datos!AD17))," - ")</f>
        <v>1.2452830188679245</v>
      </c>
      <c r="BH17" s="259">
        <f>IF(ISNUMBER(((IF(D_I="SI",Datos!L17/Datos!K17,(Datos!L17+Datos!AF17)/(Datos!K17+Datos!AE17)))*11)/factor_trimestre),((IF(D_I="SI",Datos!L17/Datos!K17,(Datos!L17+Datos!AF17)/(Datos!K17+Datos!AE17)))*11)/factor_trimestre," - ")</f>
        <v>1.1136363636363635</v>
      </c>
      <c r="BI17" s="242">
        <f>IF(ISNUMBER('Resol  Asuntos'!D17/NºAsuntos!G17),'Resol  Asuntos'!D17/NºAsuntos!G17," - ")</f>
        <v>0.13636363636363635</v>
      </c>
      <c r="BJ17" s="229" t="str">
        <f>IF(ISNUMBER(Datos!CI17/Datos!CJ17),Datos!CI17/Datos!CJ17," - ")</f>
        <v xml:space="preserve"> - </v>
      </c>
      <c r="BK17" s="359"/>
      <c r="BL17" s="229" t="str">
        <f>IF(ISNUMBER((I17-AB17+L17)/(F17)),(I17-AB17+L17)/(F17)," - ")</f>
        <v xml:space="preserve"> - </v>
      </c>
      <c r="BM17" s="610" t="str">
        <f>IF(ISNUMBER((Datos!P17-Datos!Q17+R17)/(Datos!R17-Datos!P17+Datos!Q17-R17)),(Datos!P17-Datos!Q17+R17)/(Datos!R17-Datos!P17+Datos!Q17-R17)," - ")</f>
        <v xml:space="preserve"> - </v>
      </c>
      <c r="BN17" s="633" t="str">
        <f>IF(ISNUMBER(Datos!CS17),Datos!CS17," - ")</f>
        <v xml:space="preserve"> - </v>
      </c>
      <c r="BO17" s="633" t="str">
        <f>IF(ISNUMBER(Datos!EI17),Datos!EI17," - ")</f>
        <v xml:space="preserve"> - </v>
      </c>
      <c r="BP17" s="265" t="str">
        <f>IF(ISNUMBER(Datos!EV17),Datos!EV17," - ")</f>
        <v xml:space="preserve"> - </v>
      </c>
      <c r="BQ17" s="265" t="str">
        <f>IF(ISNUMBER(Datos!CW17),Datos!CW17," - ")</f>
        <v xml:space="preserve"> - </v>
      </c>
      <c r="BR17" s="265"/>
      <c r="BS17" s="265"/>
      <c r="BT17" s="265">
        <f>Datos!CX17</f>
        <v>0</v>
      </c>
      <c r="BU17" s="479">
        <f>Datos!DU17</f>
        <v>0</v>
      </c>
      <c r="BV17" s="1106">
        <f>Datos!ER17/factor_trimestre</f>
        <v>436.36363636363637</v>
      </c>
      <c r="BZ17" s="1185">
        <f>Datos!EZ17</f>
        <v>0</v>
      </c>
    </row>
    <row r="18" spans="1:78" ht="15.75" thickTop="1" thickBot="1">
      <c r="A18" s="177"/>
      <c r="B18" s="177"/>
      <c r="C18" s="862" t="str">
        <f>Datos!A18</f>
        <v>TOTAL</v>
      </c>
      <c r="D18" s="896"/>
      <c r="E18" s="1163">
        <f>SUBTOTAL(9,E15:E17)</f>
        <v>6</v>
      </c>
      <c r="F18" s="897">
        <f>SUBTOTAL(9,F15:F17)</f>
        <v>3108</v>
      </c>
      <c r="G18" s="897">
        <f>SUBTOTAL(9,G15:G17)</f>
        <v>3437</v>
      </c>
      <c r="H18" s="898">
        <f>SUBTOTAL(9,H15:H17)</f>
        <v>0</v>
      </c>
      <c r="I18" s="897">
        <f>SUBTOTAL(9,I15:I17)</f>
        <v>0</v>
      </c>
      <c r="J18" s="866">
        <f>SUBTOTAL(9,J14:J17)</f>
        <v>0</v>
      </c>
      <c r="K18" s="866">
        <f>SUBTOTAL(9,K14:K17)</f>
        <v>0</v>
      </c>
      <c r="L18" s="898">
        <f t="shared" ref="L18:V18" si="3">SUBTOTAL(9,L15:L17)</f>
        <v>0</v>
      </c>
      <c r="M18" s="898">
        <f t="shared" si="3"/>
        <v>0</v>
      </c>
      <c r="N18" s="898">
        <f t="shared" si="3"/>
        <v>0</v>
      </c>
      <c r="O18" s="899">
        <f t="shared" si="3"/>
        <v>0</v>
      </c>
      <c r="P18" s="899">
        <f t="shared" si="3"/>
        <v>0</v>
      </c>
      <c r="Q18" s="898">
        <f t="shared" si="3"/>
        <v>38</v>
      </c>
      <c r="R18" s="898">
        <f t="shared" si="3"/>
        <v>0</v>
      </c>
      <c r="S18" s="900">
        <f t="shared" si="3"/>
        <v>0</v>
      </c>
      <c r="T18" s="900">
        <f t="shared" si="3"/>
        <v>0</v>
      </c>
      <c r="U18" s="898">
        <f t="shared" si="3"/>
        <v>0</v>
      </c>
      <c r="V18" s="1113">
        <f t="shared" si="3"/>
        <v>0</v>
      </c>
      <c r="W18" s="863">
        <f>SUBTOTAL(9,W14:W17)</f>
        <v>0</v>
      </c>
      <c r="X18" s="992" t="e">
        <f>SUBTOTAL(9,X14:X17)</f>
        <v>#VALUE!</v>
      </c>
      <c r="Y18" s="899">
        <f>SUBTOTAL(9,Y15:Y17)</f>
        <v>0</v>
      </c>
      <c r="Z18" s="898">
        <f>SUBTOTAL(9,Z15:Z17)</f>
        <v>0</v>
      </c>
      <c r="AA18" s="901" t="str">
        <f>IF(ISNUMBER((Z18*factor_trimestre)/Datos!CN18),(Z18*factor_trimestre)/Datos!CN18,"-")</f>
        <v>-</v>
      </c>
      <c r="AB18" s="898">
        <f t="shared" ref="AB18:BF18" si="4">SUBTOTAL(9,AB15:AB17)</f>
        <v>1688</v>
      </c>
      <c r="AC18" s="898">
        <f t="shared" si="4"/>
        <v>35</v>
      </c>
      <c r="AD18" s="898">
        <f t="shared" si="4"/>
        <v>0</v>
      </c>
      <c r="AE18" s="898">
        <f t="shared" si="4"/>
        <v>0</v>
      </c>
      <c r="AF18" s="898">
        <f t="shared" si="4"/>
        <v>3396</v>
      </c>
      <c r="AG18" s="898">
        <f t="shared" si="4"/>
        <v>0</v>
      </c>
      <c r="AH18" s="898">
        <f t="shared" si="4"/>
        <v>0</v>
      </c>
      <c r="AI18" s="898">
        <f t="shared" si="4"/>
        <v>0</v>
      </c>
      <c r="AJ18" s="898">
        <f t="shared" si="4"/>
        <v>0</v>
      </c>
      <c r="AK18" s="898">
        <f t="shared" si="4"/>
        <v>0</v>
      </c>
      <c r="AL18" s="898">
        <f t="shared" si="4"/>
        <v>0</v>
      </c>
      <c r="AM18" s="898">
        <f t="shared" si="4"/>
        <v>345</v>
      </c>
      <c r="AN18" s="898">
        <f t="shared" si="4"/>
        <v>0</v>
      </c>
      <c r="AO18" s="898">
        <f t="shared" si="4"/>
        <v>0</v>
      </c>
      <c r="AP18" s="898">
        <f t="shared" si="4"/>
        <v>0</v>
      </c>
      <c r="AQ18" s="898">
        <f t="shared" si="4"/>
        <v>0</v>
      </c>
      <c r="AR18" s="898">
        <f t="shared" si="4"/>
        <v>0</v>
      </c>
      <c r="AS18" s="898">
        <f t="shared" si="4"/>
        <v>0</v>
      </c>
      <c r="AT18" s="898">
        <f t="shared" si="4"/>
        <v>0</v>
      </c>
      <c r="AU18" s="898">
        <f t="shared" si="4"/>
        <v>0</v>
      </c>
      <c r="AV18" s="898">
        <f t="shared" si="4"/>
        <v>0</v>
      </c>
      <c r="AW18" s="898">
        <f t="shared" si="4"/>
        <v>0</v>
      </c>
      <c r="AX18" s="898">
        <f t="shared" si="4"/>
        <v>0</v>
      </c>
      <c r="AY18" s="898">
        <f t="shared" si="4"/>
        <v>0</v>
      </c>
      <c r="AZ18" s="898">
        <f t="shared" si="4"/>
        <v>0</v>
      </c>
      <c r="BA18" s="898">
        <f t="shared" si="4"/>
        <v>0</v>
      </c>
      <c r="BB18" s="898">
        <f t="shared" si="4"/>
        <v>0</v>
      </c>
      <c r="BC18" s="898">
        <f t="shared" si="4"/>
        <v>277</v>
      </c>
      <c r="BD18" s="898">
        <f t="shared" si="4"/>
        <v>875</v>
      </c>
      <c r="BE18" s="898">
        <f t="shared" si="4"/>
        <v>0</v>
      </c>
      <c r="BF18" s="898">
        <f t="shared" si="4"/>
        <v>0</v>
      </c>
      <c r="BG18" s="898">
        <f>IF(ISNUMBER(Datos!K18/Datos!J18),Datos!K18/Datos!J18," - ")</f>
        <v>0.88795370857443445</v>
      </c>
      <c r="BH18" s="902">
        <f>IF(ISNUMBER(((Datos!L18/Datos!K18)*11)/factor_trimestre),((Datos!L18/Datos!K18)*11)/factor_trimestre," - ")</f>
        <v>6.0355450236966819</v>
      </c>
      <c r="BI18" s="898">
        <f>SUBTOTAL(9,BI15:BI17)</f>
        <v>0.30281607852301939</v>
      </c>
      <c r="BJ18" s="898">
        <f>SUBTOTAL(9,BJ15:BJ17)</f>
        <v>0</v>
      </c>
      <c r="BK18" s="898">
        <f>SUBTOTAL(9,BK15:BK17)</f>
        <v>0</v>
      </c>
      <c r="BL18" s="898">
        <f>IF(ISNUMBER((I18-AB18+L18)/(F18)),(I18-AB18+L18)/(F18)," - ")</f>
        <v>-0.5431145431145431</v>
      </c>
      <c r="BM18" s="904">
        <f>IF(ISNUMBER((Datos!P18-Datos!Q18)/(Datos!R18-Datos!P18+Datos!Q18)),(Datos!P18-Datos!Q18)/(Datos!R18-Datos!P18+Datos!Q18)," - ")</f>
        <v>8.771929824561403E-3</v>
      </c>
      <c r="BN18" s="898">
        <f t="shared" ref="BN18:BV18" si="5">SUBTOTAL(9,BN15:BN17)</f>
        <v>0</v>
      </c>
      <c r="BO18" s="898">
        <f t="shared" si="5"/>
        <v>0</v>
      </c>
      <c r="BP18" s="898">
        <f t="shared" si="5"/>
        <v>0</v>
      </c>
      <c r="BQ18" s="898">
        <f t="shared" si="5"/>
        <v>0</v>
      </c>
      <c r="BR18" s="898">
        <f t="shared" si="5"/>
        <v>0</v>
      </c>
      <c r="BS18" s="898">
        <f t="shared" si="5"/>
        <v>0</v>
      </c>
      <c r="BT18" s="898">
        <f t="shared" si="5"/>
        <v>0</v>
      </c>
      <c r="BU18" s="898">
        <f t="shared" si="5"/>
        <v>0</v>
      </c>
      <c r="BV18" s="908">
        <f t="shared" si="5"/>
        <v>1609.090909090909</v>
      </c>
      <c r="BZ18" s="1185"/>
    </row>
    <row r="19" spans="1:78" ht="18.75" customHeight="1" thickTop="1" thickBot="1">
      <c r="A19" s="171"/>
      <c r="B19" s="171"/>
      <c r="C19" s="817" t="str">
        <f>Datos!A19</f>
        <v>TOTAL JURISDICCIONES</v>
      </c>
      <c r="D19" s="817"/>
      <c r="E19" s="1165">
        <f t="shared" ref="E19:R19" si="6">SUBTOTAL(9,E9:E18)</f>
        <v>12</v>
      </c>
      <c r="F19" s="819">
        <f t="shared" si="6"/>
        <v>3206</v>
      </c>
      <c r="G19" s="819">
        <f t="shared" si="6"/>
        <v>3535</v>
      </c>
      <c r="H19" s="821">
        <f t="shared" si="6"/>
        <v>0</v>
      </c>
      <c r="I19" s="819">
        <f t="shared" si="6"/>
        <v>0</v>
      </c>
      <c r="J19" s="821">
        <f t="shared" si="6"/>
        <v>0</v>
      </c>
      <c r="K19" s="821">
        <f t="shared" si="6"/>
        <v>0</v>
      </c>
      <c r="L19" s="880">
        <f t="shared" si="6"/>
        <v>0</v>
      </c>
      <c r="M19" s="880">
        <f t="shared" si="6"/>
        <v>0</v>
      </c>
      <c r="N19" s="880">
        <f t="shared" si="6"/>
        <v>183</v>
      </c>
      <c r="O19" s="880">
        <f t="shared" si="6"/>
        <v>0</v>
      </c>
      <c r="P19" s="880">
        <f t="shared" si="6"/>
        <v>0</v>
      </c>
      <c r="Q19" s="821">
        <f t="shared" si="6"/>
        <v>686</v>
      </c>
      <c r="R19" s="821">
        <f t="shared" si="6"/>
        <v>0</v>
      </c>
      <c r="S19" s="911">
        <f>IF(ISNUMBER(AVERAGE(S8:S18)),AVERAGE(S8:S18),"-")</f>
        <v>0</v>
      </c>
      <c r="T19" s="911">
        <f>IF(ISNUMBER(AVERAGE(T8:T18)),AVERAGE(T8:T18),"-")</f>
        <v>0</v>
      </c>
      <c r="U19" s="821">
        <f>SUBTOTAL(9,U9:U18)</f>
        <v>0</v>
      </c>
      <c r="V19" s="1116">
        <f>IF(ISNUMBER(AVERAGE(V8:V18)),AVERAGE(V8:V18),"-")</f>
        <v>0</v>
      </c>
      <c r="W19" s="879">
        <f>SUBTOTAL(9,W9:W18)</f>
        <v>0</v>
      </c>
      <c r="X19" s="1116" t="str">
        <f>IF(ISNUMBER(AVERAGE(X8:X18)),AVERAGE(X8:X18),"-")</f>
        <v>-</v>
      </c>
      <c r="Y19" s="912">
        <f>SUBTOTAL(9,Y9:Y18)</f>
        <v>0</v>
      </c>
      <c r="Z19" s="830">
        <f>SUBTOTAL(9,Z9:Z18)</f>
        <v>0</v>
      </c>
      <c r="AA19" s="913">
        <f>IF(ISNUMBER(AVERAGE(AA8:AA18)),AVERAGE(AA8:AA18),"-")</f>
        <v>0</v>
      </c>
      <c r="AB19" s="820">
        <f t="shared" ref="AB19:BF19" si="7">SUBTOTAL(9,AB9:AB18)</f>
        <v>1700</v>
      </c>
      <c r="AC19" s="820">
        <f t="shared" si="7"/>
        <v>268</v>
      </c>
      <c r="AD19" s="820">
        <f t="shared" si="7"/>
        <v>0</v>
      </c>
      <c r="AE19" s="820">
        <f t="shared" si="7"/>
        <v>0</v>
      </c>
      <c r="AF19" s="827">
        <f t="shared" si="7"/>
        <v>3493</v>
      </c>
      <c r="AG19" s="827">
        <f t="shared" si="7"/>
        <v>0</v>
      </c>
      <c r="AH19" s="827">
        <f t="shared" si="7"/>
        <v>132</v>
      </c>
      <c r="AI19" s="827">
        <f t="shared" si="7"/>
        <v>0</v>
      </c>
      <c r="AJ19" s="820">
        <f t="shared" si="7"/>
        <v>0</v>
      </c>
      <c r="AK19" s="827">
        <f t="shared" si="7"/>
        <v>0</v>
      </c>
      <c r="AL19" s="827">
        <f t="shared" si="7"/>
        <v>0</v>
      </c>
      <c r="AM19" s="827">
        <f t="shared" si="7"/>
        <v>9468</v>
      </c>
      <c r="AN19" s="828">
        <f t="shared" si="7"/>
        <v>0</v>
      </c>
      <c r="AO19" s="828">
        <f t="shared" si="7"/>
        <v>0</v>
      </c>
      <c r="AP19" s="828">
        <f t="shared" si="7"/>
        <v>0</v>
      </c>
      <c r="AQ19" s="828">
        <f t="shared" si="7"/>
        <v>0</v>
      </c>
      <c r="AR19" s="828">
        <f t="shared" si="7"/>
        <v>0</v>
      </c>
      <c r="AS19" s="829">
        <f t="shared" si="7"/>
        <v>0</v>
      </c>
      <c r="AT19" s="830">
        <f t="shared" si="7"/>
        <v>0</v>
      </c>
      <c r="AU19" s="831">
        <f t="shared" si="7"/>
        <v>0</v>
      </c>
      <c r="AV19" s="829">
        <f t="shared" si="7"/>
        <v>0</v>
      </c>
      <c r="AW19" s="829">
        <f t="shared" si="7"/>
        <v>0</v>
      </c>
      <c r="AX19" s="829">
        <f t="shared" si="7"/>
        <v>0</v>
      </c>
      <c r="AY19" s="829">
        <f t="shared" si="7"/>
        <v>0</v>
      </c>
      <c r="AZ19" s="829">
        <f t="shared" si="7"/>
        <v>0</v>
      </c>
      <c r="BA19" s="831">
        <f t="shared" si="7"/>
        <v>0</v>
      </c>
      <c r="BB19" s="819">
        <f t="shared" si="7"/>
        <v>0</v>
      </c>
      <c r="BC19" s="819">
        <f t="shared" si="7"/>
        <v>727</v>
      </c>
      <c r="BD19" s="819">
        <f t="shared" si="7"/>
        <v>2174</v>
      </c>
      <c r="BE19" s="819">
        <f t="shared" si="7"/>
        <v>0</v>
      </c>
      <c r="BF19" s="829">
        <f t="shared" si="7"/>
        <v>0</v>
      </c>
      <c r="BG19" s="914">
        <f>IF(ISNUMBER(Datos!K19/Datos!J19),Datos!K19/Datos!J19," - ")</f>
        <v>1.2192720763723151</v>
      </c>
      <c r="BH19" s="914">
        <f>IF(ISNUMBER(((Datos!L19/Datos!K19)*11)/factor_trimestre),((Datos!L19/Datos!K19)*11)/factor_trimestre," - ")</f>
        <v>6.9234157083435282</v>
      </c>
      <c r="BI19" s="812">
        <f>IF(ISNUMBER(Datos!J19/Datos!I19),Datos!J19/Datos!I19," - ")</f>
        <v>0.32165819019287978</v>
      </c>
      <c r="BJ19" s="915" t="str">
        <f>IF(ISNUMBER(Datos!CI19/Datos!CJ19),Datos!CI19/Datos!CJ19," - ")</f>
        <v xml:space="preserve"> - </v>
      </c>
      <c r="BK19" s="916">
        <f>SUBTOTAL(9,BK9:BK18)</f>
        <v>0</v>
      </c>
      <c r="BL19" s="843">
        <f>IF(OR(ISNUMBER(FIND("01",Criterios!A8,1)),ISNUMBER(FIND("02",Criterios!A8,1)),ISNUMBER(FIND("03",Criterios!A8,1)),ISNUMBER(FIND("04",Criterios!A8,1))),(J19-AB19+L19)/(F19-L19),(I19-AB19+L19)/(F19-L19))</f>
        <v>-0.53025577043044292</v>
      </c>
      <c r="BM19" s="888">
        <f>IF(ISNUMBER((Datos!P19-Datos!Q19+R19)/(Datos!R19-Datos!P19+Datos!Q19-R19)),(Datos!P19-Datos!Q19+R19)/(Datos!R19-Datos!P19+Datos!Q19-R19)," - ")</f>
        <v>4.6187845303867402E-2</v>
      </c>
      <c r="BN19" s="917">
        <f t="shared" ref="BN19:BV19" si="8">SUBTOTAL(9,BN9:BN18)</f>
        <v>0</v>
      </c>
      <c r="BO19" s="917">
        <f t="shared" si="8"/>
        <v>0</v>
      </c>
      <c r="BP19" s="879">
        <f t="shared" si="8"/>
        <v>0</v>
      </c>
      <c r="BQ19" s="879">
        <f t="shared" si="8"/>
        <v>0</v>
      </c>
      <c r="BR19" s="879">
        <f t="shared" si="8"/>
        <v>0</v>
      </c>
      <c r="BS19" s="879">
        <f t="shared" si="8"/>
        <v>0</v>
      </c>
      <c r="BT19" s="879">
        <f t="shared" si="8"/>
        <v>0</v>
      </c>
      <c r="BU19" s="879">
        <f t="shared" si="8"/>
        <v>0</v>
      </c>
      <c r="BV19" s="1108">
        <f t="shared" si="8"/>
        <v>2919.0000000000005</v>
      </c>
    </row>
    <row r="20" spans="1:78" ht="18.75" customHeight="1" thickTop="1" thickBot="1">
      <c r="A20" s="166"/>
      <c r="B20" s="166"/>
      <c r="C20" s="837" t="s">
        <v>264</v>
      </c>
      <c r="D20" s="919"/>
      <c r="E20" s="1166">
        <f ca="1">IF(ISNUMBER(SUMIF($B8:$B18,$B20,E8:E18)/INDIRECT("Datos!AP"&amp;ROW()-1)),SUMIF($B8:$B18,$B20,E8:E18)/INDIRECT("Datos!AP"&amp;ROW()-1),"-")</f>
        <v>0</v>
      </c>
      <c r="F20" s="812">
        <f ca="1">IF(ISNUMBER(SUMIF($B8:$B18,$B20,F8:F18)/INDIRECT("Datos!AP"&amp;ROW()-1)),SUMIF($B8:$B18,$B20,F8:F18)/INDIRECT("Datos!AP"&amp;ROW()-1),"-")</f>
        <v>0</v>
      </c>
      <c r="G20" s="822">
        <f>IF(ISNUMBER(AVERAGE(G8:G18)),AVERAGE(G8:G18),"-")</f>
        <v>1414</v>
      </c>
      <c r="H20" s="814">
        <f t="shared" ref="H20:AN20" ca="1" si="9">IF(ISNUMBER(SUMIF($B8:$B18,$B20,H8:H18)/INDIRECT("Datos!AP"&amp;ROW()-1)),SUMIF($B8:$B18,$B20,H8:H18)/INDIRECT("Datos!AP"&amp;ROW()-1),"-")</f>
        <v>0</v>
      </c>
      <c r="I20" s="812">
        <f t="shared" ca="1" si="9"/>
        <v>0</v>
      </c>
      <c r="J20" s="814">
        <f t="shared" ca="1" si="9"/>
        <v>0</v>
      </c>
      <c r="K20" s="814">
        <f t="shared" ca="1" si="9"/>
        <v>0</v>
      </c>
      <c r="L20" s="814">
        <f t="shared" ca="1" si="9"/>
        <v>0</v>
      </c>
      <c r="M20" s="814">
        <f t="shared" ca="1" si="9"/>
        <v>0</v>
      </c>
      <c r="N20" s="814">
        <f t="shared" ca="1" si="9"/>
        <v>0</v>
      </c>
      <c r="O20" s="814">
        <f t="shared" ca="1" si="9"/>
        <v>0</v>
      </c>
      <c r="P20" s="814">
        <f t="shared" ca="1" si="9"/>
        <v>0</v>
      </c>
      <c r="Q20" s="814">
        <f t="shared" ca="1" si="9"/>
        <v>0</v>
      </c>
      <c r="R20" s="814">
        <f t="shared" ca="1" si="9"/>
        <v>0</v>
      </c>
      <c r="S20" s="920">
        <f t="shared" ca="1" si="9"/>
        <v>0</v>
      </c>
      <c r="T20" s="920">
        <f t="shared" ca="1" si="9"/>
        <v>0</v>
      </c>
      <c r="U20" s="814">
        <f t="shared" ca="1" si="9"/>
        <v>0</v>
      </c>
      <c r="V20" s="994">
        <f t="shared" ca="1" si="9"/>
        <v>0</v>
      </c>
      <c r="W20" s="814">
        <f t="shared" ca="1" si="9"/>
        <v>0</v>
      </c>
      <c r="X20" s="994">
        <f t="shared" ca="1" si="9"/>
        <v>0</v>
      </c>
      <c r="Y20" s="921">
        <f t="shared" ca="1" si="9"/>
        <v>0</v>
      </c>
      <c r="Z20" s="842">
        <f t="shared" ca="1" si="9"/>
        <v>0</v>
      </c>
      <c r="AA20" s="840">
        <f t="shared" ca="1" si="9"/>
        <v>0</v>
      </c>
      <c r="AB20" s="813">
        <f t="shared" ca="1" si="9"/>
        <v>0</v>
      </c>
      <c r="AC20" s="813">
        <f t="shared" ca="1" si="9"/>
        <v>0</v>
      </c>
      <c r="AD20" s="813">
        <f t="shared" ca="1" si="9"/>
        <v>0</v>
      </c>
      <c r="AE20" s="813">
        <f t="shared" ca="1" si="9"/>
        <v>0</v>
      </c>
      <c r="AF20" s="813">
        <f t="shared" ca="1" si="9"/>
        <v>0</v>
      </c>
      <c r="AG20" s="813">
        <f t="shared" ca="1" si="9"/>
        <v>0</v>
      </c>
      <c r="AH20" s="813">
        <f t="shared" ca="1" si="9"/>
        <v>0</v>
      </c>
      <c r="AI20" s="813">
        <f t="shared" ca="1" si="9"/>
        <v>0</v>
      </c>
      <c r="AJ20" s="813">
        <f t="shared" ca="1" si="9"/>
        <v>0</v>
      </c>
      <c r="AK20" s="813">
        <f t="shared" ca="1" si="9"/>
        <v>0</v>
      </c>
      <c r="AL20" s="813">
        <f t="shared" ca="1" si="9"/>
        <v>0</v>
      </c>
      <c r="AM20" s="813">
        <f t="shared" ca="1" si="9"/>
        <v>0</v>
      </c>
      <c r="AN20" s="841">
        <f t="shared" ca="1" si="9"/>
        <v>0</v>
      </c>
      <c r="AO20" s="841">
        <f ca="1">IF(ISNUMBER(SUMIF($B8:$B18,$B20,AN8:AN18)/INDIRECT("Datos!AP"&amp;ROW()-1)),SUMIF($B8:$B18,$B20,AN8:AN18)/INDIRECT("Datos!AP"&amp;ROW()-1),"-")</f>
        <v>0</v>
      </c>
      <c r="AP20" s="841">
        <f t="shared" ref="AP20:BI20" ca="1" si="10">IF(ISNUMBER(SUMIF($B8:$B18,$B20,AP8:AP18)/INDIRECT("Datos!AP"&amp;ROW()-1)),SUMIF($B8:$B18,$B20,AP8:AP18)/INDIRECT("Datos!AP"&amp;ROW()-1),"-")</f>
        <v>0</v>
      </c>
      <c r="AQ20" s="841">
        <f t="shared" ca="1" si="10"/>
        <v>0</v>
      </c>
      <c r="AR20" s="841">
        <f t="shared" ca="1" si="10"/>
        <v>0</v>
      </c>
      <c r="AS20" s="814">
        <f t="shared" ca="1" si="10"/>
        <v>0</v>
      </c>
      <c r="AT20" s="842">
        <f t="shared" ca="1" si="10"/>
        <v>0</v>
      </c>
      <c r="AU20" s="841">
        <f t="shared" ca="1" si="10"/>
        <v>0</v>
      </c>
      <c r="AV20" s="814">
        <f t="shared" ca="1" si="10"/>
        <v>0</v>
      </c>
      <c r="AW20" s="922">
        <f t="shared" ca="1" si="10"/>
        <v>0</v>
      </c>
      <c r="AX20" s="922">
        <f t="shared" ca="1" si="10"/>
        <v>0</v>
      </c>
      <c r="AY20" s="922">
        <f t="shared" ca="1" si="10"/>
        <v>0</v>
      </c>
      <c r="AZ20" s="922">
        <f t="shared" ca="1" si="10"/>
        <v>0</v>
      </c>
      <c r="BA20" s="841">
        <f t="shared" ca="1" si="10"/>
        <v>0</v>
      </c>
      <c r="BB20" s="812">
        <f t="shared" ca="1" si="10"/>
        <v>0</v>
      </c>
      <c r="BC20" s="812">
        <f t="shared" ca="1" si="10"/>
        <v>0</v>
      </c>
      <c r="BD20" s="812">
        <f t="shared" ca="1" si="10"/>
        <v>0</v>
      </c>
      <c r="BE20" s="812">
        <f t="shared" ca="1" si="10"/>
        <v>0</v>
      </c>
      <c r="BF20" s="814">
        <f t="shared" ca="1" si="10"/>
        <v>0</v>
      </c>
      <c r="BG20" s="814">
        <f t="shared" ca="1" si="10"/>
        <v>0</v>
      </c>
      <c r="BH20" s="814">
        <f t="shared" ca="1" si="10"/>
        <v>0</v>
      </c>
      <c r="BI20" s="812">
        <f t="shared" ca="1" si="10"/>
        <v>0</v>
      </c>
      <c r="BJ20" s="923" t="e">
        <f ca="1">INDIRECT("Datos!CI"&amp;ROW()-1)/INDIRECT("Datos!CJ"&amp;ROW()-1)</f>
        <v>#DIV/0!</v>
      </c>
      <c r="BK20" s="924">
        <f ca="1">IF(ISNUMBER(SUMIF($B8:$B18,$B20,BK8:BK18)/INDIRECT("Datos!AP"&amp;ROW()-1)),SUMIF($B8:$B18,$B20,BK8:BK18)/INDIRECT("Datos!AP"&amp;ROW()-1),"-")</f>
        <v>0</v>
      </c>
      <c r="BL20" s="843" t="e">
        <f ca="1">IF(OR(ISNUMBER(FIND("01",Criterios!A8,1)),ISNUMBER(FIND("02",Criterios!A8,1)),ISNUMBER(FIND("03",Criterios!A8,1)),ISNUMBER(FIND("04",Criterios!A8,1))),(J20-AB20+L20)/(F20-L20),(I20-AB20+L20)/(F20-L20))</f>
        <v>#DIV/0!</v>
      </c>
      <c r="BM20" s="893">
        <f t="shared" ref="BM20:BS20" ca="1" si="11">IF(ISNUMBER(SUMIF($B8:$B18,$B20,BM8:BM18)/INDIRECT("Datos!AP"&amp;ROW()-1)),SUMIF($B8:$B18,$B20,BM8:BM18)/INDIRECT("Datos!AP"&amp;ROW()-1),"-")</f>
        <v>0</v>
      </c>
      <c r="BN20" s="925">
        <f t="shared" ca="1" si="11"/>
        <v>0</v>
      </c>
      <c r="BO20" s="925">
        <f t="shared" ca="1" si="11"/>
        <v>0</v>
      </c>
      <c r="BP20" s="889">
        <f t="shared" ca="1" si="11"/>
        <v>0</v>
      </c>
      <c r="BQ20" s="889">
        <f t="shared" ca="1" si="11"/>
        <v>0</v>
      </c>
      <c r="BR20" s="889">
        <f t="shared" ca="1" si="11"/>
        <v>0</v>
      </c>
      <c r="BS20" s="889">
        <f t="shared" ca="1" si="11"/>
        <v>0</v>
      </c>
      <c r="BT20" s="889"/>
      <c r="BU20" s="889"/>
      <c r="BV20" s="815"/>
    </row>
    <row r="21" spans="1:78" ht="18.75" hidden="1" customHeight="1" thickTop="1" thickBot="1">
      <c r="A21" s="167"/>
      <c r="B21" s="167"/>
      <c r="C21" s="167" t="s">
        <v>265</v>
      </c>
      <c r="D21" s="481"/>
      <c r="E21" s="516">
        <f>IF(ISNUMBER(STDEV(E8:E18)),STDEV(E8:E18),"-")</f>
        <v>3.1622776601683795</v>
      </c>
      <c r="F21" s="550">
        <f>IF(ISNUMBER(STDEV(F8:F18)),STDEV(F8:F18),"-")</f>
        <v>1737.8243102607737</v>
      </c>
      <c r="G21" s="551">
        <f>IF(ISNUMBER(STDEV(G8:G18)),STDEV(G8:G18),"-")</f>
        <v>1812.7235034610214</v>
      </c>
      <c r="H21" s="552"/>
      <c r="I21" s="550">
        <f>IF(ISNUMBER(STDEV(I8:I18)),STDEV(I8:I18),"-")</f>
        <v>0</v>
      </c>
      <c r="J21" s="253">
        <f>IF(ISNUMBER(STDEV(J8:J18)),STDEV(J8:J18),"-")</f>
        <v>0</v>
      </c>
      <c r="K21" s="281"/>
      <c r="L21" s="552"/>
      <c r="M21" s="552"/>
      <c r="N21" s="552"/>
      <c r="O21" s="552"/>
      <c r="P21" s="552"/>
      <c r="Q21" s="552"/>
      <c r="R21" s="552"/>
      <c r="S21" s="553"/>
      <c r="T21" s="553"/>
      <c r="U21" s="552"/>
      <c r="V21" s="1117"/>
      <c r="W21" s="300"/>
      <c r="X21" s="995"/>
      <c r="Y21" s="629"/>
      <c r="Z21" s="550">
        <f>IF(ISNUMBER(STDEV(Z8:Z18)),STDEV(Z8:Z18),"-")</f>
        <v>0</v>
      </c>
      <c r="AA21" s="553">
        <f>IF(ISNUMBER(STDEV(AA8:AA18)),STDEV(AA8:AA18),"-")</f>
        <v>0</v>
      </c>
      <c r="AB21" s="552">
        <f>IF(ISNUMBER(STDEV(AB8:AB18)),STDEV(AB8:AB18),"-")</f>
        <v>862.58216999889351</v>
      </c>
      <c r="AC21" s="554"/>
      <c r="AD21" s="554"/>
      <c r="AE21" s="554"/>
      <c r="AF21" s="554"/>
      <c r="AG21" s="554"/>
      <c r="AH21" s="554"/>
      <c r="AI21" s="554"/>
      <c r="AJ21" s="554"/>
      <c r="AK21" s="554"/>
      <c r="AL21" s="554"/>
      <c r="AM21" s="554"/>
      <c r="AN21" s="554"/>
      <c r="AO21" s="554"/>
      <c r="AP21" s="554"/>
      <c r="AQ21" s="554"/>
      <c r="AR21" s="554"/>
      <c r="AS21" s="555">
        <f>IF(ISNUMBER(STDEV(AS8:AS18)),STDEV(AS8:AS18),"-")</f>
        <v>0</v>
      </c>
      <c r="AT21" s="556">
        <f>IF(ISNUMBER(STDEV(AT8:AT18)),STDEV(AT8:AT18),"-")</f>
        <v>0</v>
      </c>
      <c r="AU21" s="554">
        <f>IF(ISNUMBER(STDEV(AU8:AU18)),STDEV(AU8:AU18),"-")</f>
        <v>0</v>
      </c>
      <c r="AV21" s="557"/>
      <c r="AW21" s="557"/>
      <c r="AX21" s="557"/>
      <c r="AY21" s="557"/>
      <c r="AZ21" s="557"/>
      <c r="BA21" s="554">
        <f>IF(ISNUMBER(STDEV(BA8:BA18)),STDEV(BA8:BA18),"-")</f>
        <v>0</v>
      </c>
      <c r="BB21" s="297"/>
      <c r="BC21" s="550">
        <f>IF(ISNUMBER(STDEV(BC8:BC18)),STDEV(BC8:BC18),"-")</f>
        <v>194.7867209710833</v>
      </c>
      <c r="BD21" s="550"/>
      <c r="BE21" s="550">
        <f>IF(ISNUMBER(STDEV(BE8:BE18)),STDEV(BE8:BE18),"-")</f>
        <v>0</v>
      </c>
      <c r="BF21" s="555">
        <f>IF(ISNUMBER(STDEV(BF8:BF18)),STDEV(BF8:BF18),"-")</f>
        <v>0</v>
      </c>
      <c r="BG21" s="774">
        <f>IF(ISNUMBER(STDEV(BG8:BG18)),STDEV(BG8:BG18),"-")</f>
        <v>0.33762305184381303</v>
      </c>
      <c r="BH21" s="775">
        <f>IF(ISNUMBER(STDEV(BH8:BH18)),STDEV(BH8:BH18),"-")</f>
        <v>7.9419539200097313</v>
      </c>
      <c r="BI21" s="248">
        <f>IF(ISNUMBER(STDEV(BI8:BI18)),STDEV(BI8:BI18),"-")</f>
        <v>7.3694762150676274E-2</v>
      </c>
      <c r="BJ21" s="229" t="str">
        <f>IF(ISNUMBER(BL21/BM21),BL21/BM21," - ")</f>
        <v xml:space="preserve"> - </v>
      </c>
      <c r="BK21" s="574"/>
      <c r="BL21" s="558">
        <f>IF(ISNUMBER(STDEV(BL8:BL18)),STDEV(BL8:BL18),"-")</f>
        <v>0.29745547257856603</v>
      </c>
      <c r="BM21" s="559"/>
      <c r="BN21" s="586"/>
      <c r="BO21" s="586"/>
      <c r="BP21" s="560">
        <f>IF(ISNUMBER(STDEV(BP8:BP18)),STDEV(BP8:BP18),"-")</f>
        <v>0</v>
      </c>
      <c r="BQ21" s="560">
        <f>IF(ISNUMBER(STDEV(BQ8:BQ18)),STDEV(BQ8:BQ18),"-")</f>
        <v>0</v>
      </c>
      <c r="BR21" s="560"/>
      <c r="BS21" s="560"/>
      <c r="BT21" s="561">
        <f>IF(ISNUMBER(STDEV(BT8:BT18)),STDEV(BT8:BT18),"-")</f>
        <v>0</v>
      </c>
      <c r="BU21" s="562">
        <f>IF(ISNUMBER(STDEV(BU8:BU18)),STDEV(BU8:BU18),"-")</f>
        <v>0</v>
      </c>
      <c r="BV21" s="1109">
        <f>IF(ISNUMBER(STDEV(BV8:BV18)),STDEV(BV8:BV18),"-")</f>
        <v>506.83041770798405</v>
      </c>
    </row>
    <row r="22" spans="1:78" ht="12" customHeight="1" thickTop="1">
      <c r="C22" s="73"/>
      <c r="D22" s="73"/>
      <c r="F22" s="563"/>
      <c r="G22" s="563"/>
      <c r="H22" s="563"/>
      <c r="I22" s="563"/>
      <c r="L22" s="563"/>
      <c r="M22" s="563"/>
      <c r="N22" s="563"/>
      <c r="O22" s="575"/>
      <c r="P22" s="575"/>
      <c r="Q22" s="563"/>
      <c r="R22" s="563"/>
      <c r="S22" s="564"/>
      <c r="T22" s="564"/>
      <c r="U22" s="563"/>
      <c r="V22" s="1118"/>
      <c r="W22" s="95"/>
      <c r="X22" s="622"/>
      <c r="Y22" s="630"/>
      <c r="Z22" s="563"/>
      <c r="AA22" s="564"/>
      <c r="AB22" s="563"/>
      <c r="AC22" s="563"/>
      <c r="AD22" s="563"/>
      <c r="AE22" s="563"/>
      <c r="AF22" s="563"/>
      <c r="AG22" s="563"/>
      <c r="AH22" s="563"/>
      <c r="AI22" s="563"/>
      <c r="AJ22" s="563"/>
      <c r="AK22" s="563"/>
      <c r="AL22" s="563"/>
      <c r="AM22" s="563"/>
      <c r="AN22" s="563"/>
      <c r="AO22" s="563"/>
      <c r="AP22" s="563"/>
      <c r="AQ22" s="563"/>
      <c r="AR22" s="563"/>
      <c r="AS22" s="563"/>
      <c r="AT22" s="563"/>
      <c r="AU22" s="563"/>
      <c r="AV22" s="563"/>
      <c r="AW22" s="563"/>
      <c r="AX22" s="563"/>
      <c r="AY22" s="563"/>
      <c r="AZ22" s="563"/>
      <c r="BA22" s="563"/>
      <c r="BB22" s="297"/>
      <c r="BC22" s="563"/>
      <c r="BD22" s="563"/>
      <c r="BE22" s="563"/>
      <c r="BF22" s="563"/>
      <c r="BG22" s="563"/>
      <c r="BH22" s="563"/>
      <c r="BI22" s="563"/>
      <c r="BJ22" s="564"/>
      <c r="BK22" s="575"/>
      <c r="BL22" s="563" t="s">
        <v>424</v>
      </c>
      <c r="BM22" s="565"/>
      <c r="BN22" s="587"/>
      <c r="BO22" s="587"/>
      <c r="BP22" s="563"/>
      <c r="BQ22" s="563"/>
      <c r="BR22" s="563"/>
      <c r="BS22" s="563"/>
      <c r="BT22" s="566"/>
      <c r="BU22" s="563"/>
      <c r="BV22" s="563"/>
    </row>
    <row r="23" spans="1:78" ht="14.25">
      <c r="C23" s="159"/>
      <c r="D23" s="517"/>
      <c r="E23" s="518"/>
      <c r="F23" s="567"/>
      <c r="G23" s="228"/>
      <c r="H23" s="568"/>
      <c r="I23" s="568"/>
      <c r="J23" s="143"/>
      <c r="K23" s="143"/>
      <c r="L23" s="568"/>
      <c r="M23" s="568"/>
      <c r="N23" s="568"/>
      <c r="O23" s="358"/>
      <c r="P23" s="358"/>
      <c r="Q23" s="568"/>
      <c r="R23" s="568"/>
      <c r="S23" s="347"/>
      <c r="T23" s="347"/>
      <c r="U23" s="568"/>
      <c r="V23" s="1115"/>
      <c r="W23" s="301"/>
      <c r="X23" s="294"/>
      <c r="Y23" s="333"/>
      <c r="Z23" s="358"/>
      <c r="AA23" s="347"/>
      <c r="AB23" s="568"/>
      <c r="AC23" s="569"/>
      <c r="AD23" s="569"/>
      <c r="AE23" s="569"/>
      <c r="AF23" s="297"/>
      <c r="AG23" s="297"/>
      <c r="AH23" s="297"/>
      <c r="AI23" s="297"/>
      <c r="AJ23" s="297"/>
      <c r="AK23" s="569"/>
      <c r="AL23" s="569"/>
      <c r="AM23" s="569"/>
      <c r="AN23" s="569"/>
      <c r="AO23" s="569"/>
      <c r="AP23" s="569"/>
      <c r="AQ23" s="569"/>
      <c r="AR23" s="569"/>
      <c r="AS23" s="568"/>
      <c r="AT23" s="568"/>
      <c r="AU23" s="568"/>
      <c r="AV23" s="568"/>
      <c r="AW23" s="568"/>
      <c r="AX23" s="568"/>
      <c r="AY23" s="568"/>
      <c r="AZ23" s="568"/>
      <c r="BA23" s="568"/>
      <c r="BB23" s="568"/>
      <c r="BC23" s="568"/>
      <c r="BD23" s="568"/>
      <c r="BE23" s="568"/>
      <c r="BF23" s="568"/>
      <c r="BG23" s="568"/>
      <c r="BH23" s="568"/>
      <c r="BI23" s="568"/>
      <c r="BJ23" s="347"/>
      <c r="BK23" s="358"/>
      <c r="BL23" s="347"/>
      <c r="BM23" s="477"/>
      <c r="BN23" s="588"/>
      <c r="BO23" s="588"/>
      <c r="BP23" s="568"/>
      <c r="BQ23" s="568"/>
      <c r="BR23" s="568"/>
      <c r="BS23" s="568"/>
      <c r="BT23" s="570"/>
      <c r="BU23" s="570"/>
      <c r="BV23" s="1110"/>
    </row>
    <row r="24" spans="1:78" ht="14.25">
      <c r="C24" s="7"/>
      <c r="D24" s="520"/>
      <c r="E24" s="518"/>
      <c r="F24" s="567"/>
      <c r="G24" s="228"/>
      <c r="H24" s="568"/>
      <c r="I24" s="568"/>
      <c r="J24" s="143"/>
      <c r="K24" s="143"/>
      <c r="L24" s="568"/>
      <c r="M24" s="568"/>
      <c r="N24" s="568"/>
      <c r="O24" s="358"/>
      <c r="P24" s="358"/>
      <c r="Q24" s="568"/>
      <c r="R24" s="568"/>
      <c r="S24" s="347"/>
      <c r="T24" s="347"/>
      <c r="U24" s="568"/>
      <c r="V24" s="1115"/>
      <c r="W24" s="301"/>
      <c r="X24" s="294"/>
      <c r="Y24" s="333"/>
      <c r="Z24" s="358"/>
      <c r="AA24" s="347"/>
      <c r="AB24" s="568"/>
      <c r="AC24" s="569"/>
      <c r="AD24" s="569"/>
      <c r="AE24" s="569"/>
      <c r="AF24" s="297"/>
      <c r="AG24" s="297"/>
      <c r="AH24" s="297"/>
      <c r="AI24" s="297"/>
      <c r="AJ24" s="297"/>
      <c r="AK24" s="569"/>
      <c r="AL24" s="569"/>
      <c r="AM24" s="569"/>
      <c r="AN24" s="569"/>
      <c r="AO24" s="569"/>
      <c r="AP24" s="569"/>
      <c r="AQ24" s="569"/>
      <c r="AR24" s="569"/>
      <c r="AS24" s="568"/>
      <c r="AT24" s="568"/>
      <c r="AU24" s="568"/>
      <c r="AV24" s="568"/>
      <c r="AW24" s="568"/>
      <c r="AX24" s="568"/>
      <c r="AY24" s="568"/>
      <c r="AZ24" s="568"/>
      <c r="BA24" s="568"/>
      <c r="BB24" s="568"/>
      <c r="BC24" s="568"/>
      <c r="BD24" s="568"/>
      <c r="BE24" s="568"/>
      <c r="BF24" s="568"/>
      <c r="BG24" s="568"/>
      <c r="BH24" s="568"/>
      <c r="BI24" s="568"/>
      <c r="BJ24" s="347"/>
      <c r="BK24" s="358"/>
      <c r="BL24" s="347"/>
      <c r="BM24" s="477"/>
      <c r="BN24" s="588"/>
      <c r="BO24" s="588"/>
      <c r="BP24" s="568"/>
      <c r="BQ24" s="568"/>
      <c r="BR24" s="568"/>
      <c r="BS24" s="568"/>
      <c r="BT24" s="570"/>
      <c r="BU24" s="570"/>
      <c r="BV24" s="1110"/>
    </row>
    <row r="25" spans="1:78" ht="12.75" hidden="1" customHeight="1">
      <c r="C25" s="521" t="s">
        <v>262</v>
      </c>
      <c r="D25" s="520"/>
      <c r="E25" s="505">
        <f t="shared" ref="E25:AD25" si="12">E23+2*E24</f>
        <v>0</v>
      </c>
      <c r="F25" s="505">
        <f t="shared" si="12"/>
        <v>0</v>
      </c>
      <c r="G25" s="502">
        <f t="shared" si="12"/>
        <v>0</v>
      </c>
      <c r="H25" s="522">
        <f t="shared" si="12"/>
        <v>0</v>
      </c>
      <c r="I25" s="522">
        <f t="shared" si="12"/>
        <v>0</v>
      </c>
      <c r="J25" s="141">
        <f t="shared" si="12"/>
        <v>0</v>
      </c>
      <c r="K25" s="141">
        <f t="shared" si="12"/>
        <v>0</v>
      </c>
      <c r="L25" s="522">
        <f t="shared" si="12"/>
        <v>0</v>
      </c>
      <c r="M25" s="522">
        <f t="shared" si="12"/>
        <v>0</v>
      </c>
      <c r="N25" s="522">
        <f t="shared" si="12"/>
        <v>0</v>
      </c>
      <c r="O25" s="522">
        <f t="shared" si="12"/>
        <v>0</v>
      </c>
      <c r="P25" s="522">
        <f t="shared" si="12"/>
        <v>0</v>
      </c>
      <c r="Q25" s="522">
        <f t="shared" si="12"/>
        <v>0</v>
      </c>
      <c r="R25" s="522">
        <f t="shared" si="12"/>
        <v>0</v>
      </c>
      <c r="S25" s="523">
        <f t="shared" si="12"/>
        <v>0</v>
      </c>
      <c r="T25" s="523">
        <f t="shared" si="12"/>
        <v>0</v>
      </c>
      <c r="U25" s="522">
        <f t="shared" si="12"/>
        <v>0</v>
      </c>
      <c r="V25" s="613">
        <f t="shared" si="12"/>
        <v>0</v>
      </c>
      <c r="W25" s="616">
        <f t="shared" si="12"/>
        <v>0</v>
      </c>
      <c r="X25" s="613">
        <f t="shared" si="12"/>
        <v>0</v>
      </c>
      <c r="Y25" s="616">
        <f t="shared" si="12"/>
        <v>0</v>
      </c>
      <c r="Z25" s="502">
        <f t="shared" si="12"/>
        <v>0</v>
      </c>
      <c r="AA25" s="524">
        <f t="shared" si="12"/>
        <v>0</v>
      </c>
      <c r="AB25" s="502">
        <f t="shared" si="12"/>
        <v>0</v>
      </c>
      <c r="AC25" s="502">
        <f t="shared" si="12"/>
        <v>0</v>
      </c>
      <c r="AD25" s="502">
        <f t="shared" si="12"/>
        <v>0</v>
      </c>
      <c r="AE25" s="502"/>
      <c r="AF25" s="502">
        <f>AF23+2*AF24</f>
        <v>0</v>
      </c>
      <c r="AG25" s="502">
        <f>AG23+2*AG24</f>
        <v>0</v>
      </c>
      <c r="AH25" s="502">
        <f>AH23+2*AH24</f>
        <v>0</v>
      </c>
      <c r="AI25" s="502">
        <f>AI23+2*AI24</f>
        <v>0</v>
      </c>
      <c r="AJ25" s="502"/>
      <c r="AK25" s="502">
        <f t="shared" ref="AK25:BS25" si="13">AK23+2*AK24</f>
        <v>0</v>
      </c>
      <c r="AL25" s="502">
        <f t="shared" si="13"/>
        <v>0</v>
      </c>
      <c r="AM25" s="502">
        <f t="shared" si="13"/>
        <v>0</v>
      </c>
      <c r="AN25" s="502">
        <f t="shared" si="13"/>
        <v>0</v>
      </c>
      <c r="AO25" s="502">
        <f t="shared" si="13"/>
        <v>0</v>
      </c>
      <c r="AP25" s="502">
        <f t="shared" si="13"/>
        <v>0</v>
      </c>
      <c r="AQ25" s="502">
        <f t="shared" si="13"/>
        <v>0</v>
      </c>
      <c r="AR25" s="502">
        <f t="shared" si="13"/>
        <v>0</v>
      </c>
      <c r="AS25" s="502">
        <f t="shared" si="13"/>
        <v>0</v>
      </c>
      <c r="AT25" s="502">
        <f t="shared" si="13"/>
        <v>0</v>
      </c>
      <c r="AU25" s="502">
        <f t="shared" si="13"/>
        <v>0</v>
      </c>
      <c r="AV25" s="502">
        <f t="shared" si="13"/>
        <v>0</v>
      </c>
      <c r="AW25" s="502">
        <f t="shared" si="13"/>
        <v>0</v>
      </c>
      <c r="AX25" s="502">
        <f t="shared" si="13"/>
        <v>0</v>
      </c>
      <c r="AY25" s="502">
        <f t="shared" si="13"/>
        <v>0</v>
      </c>
      <c r="AZ25" s="502">
        <f t="shared" si="13"/>
        <v>0</v>
      </c>
      <c r="BA25" s="502">
        <f t="shared" si="13"/>
        <v>0</v>
      </c>
      <c r="BB25" s="502">
        <f t="shared" si="13"/>
        <v>0</v>
      </c>
      <c r="BC25" s="502">
        <f t="shared" si="13"/>
        <v>0</v>
      </c>
      <c r="BD25" s="502">
        <f t="shared" si="13"/>
        <v>0</v>
      </c>
      <c r="BE25" s="502">
        <f t="shared" si="13"/>
        <v>0</v>
      </c>
      <c r="BF25" s="502">
        <f t="shared" si="13"/>
        <v>0</v>
      </c>
      <c r="BG25" s="519">
        <f t="shared" si="13"/>
        <v>0</v>
      </c>
      <c r="BH25" s="519">
        <f t="shared" si="13"/>
        <v>0</v>
      </c>
      <c r="BI25" s="519">
        <f t="shared" si="13"/>
        <v>0</v>
      </c>
      <c r="BJ25" s="524">
        <f t="shared" si="13"/>
        <v>0</v>
      </c>
      <c r="BK25" s="576">
        <f t="shared" si="13"/>
        <v>0</v>
      </c>
      <c r="BL25" s="614">
        <f t="shared" si="13"/>
        <v>0</v>
      </c>
      <c r="BM25" s="614">
        <f t="shared" si="13"/>
        <v>0</v>
      </c>
      <c r="BN25" s="502">
        <f t="shared" si="13"/>
        <v>0</v>
      </c>
      <c r="BO25" s="502">
        <f t="shared" si="13"/>
        <v>0</v>
      </c>
      <c r="BP25" s="502">
        <f t="shared" si="13"/>
        <v>0</v>
      </c>
      <c r="BQ25" s="502">
        <f t="shared" si="13"/>
        <v>0</v>
      </c>
      <c r="BR25" s="502">
        <f t="shared" si="13"/>
        <v>0</v>
      </c>
      <c r="BS25" s="502">
        <f t="shared" si="13"/>
        <v>0</v>
      </c>
      <c r="BT25" s="502">
        <f>(BT23-ultimoDiaTrim)+2*BT24</f>
        <v>0</v>
      </c>
      <c r="BU25" s="502">
        <f>BU23+2*BU24</f>
        <v>0</v>
      </c>
      <c r="BV25" s="515">
        <f>BV23+2*BV24</f>
        <v>0</v>
      </c>
    </row>
    <row r="26" spans="1:78" ht="12.75" hidden="1" customHeight="1">
      <c r="C26" s="521" t="s">
        <v>263</v>
      </c>
      <c r="D26" s="520"/>
      <c r="E26" s="505">
        <f t="shared" ref="E26:AD26" si="14">MIN(0,E23-2*E24)</f>
        <v>0</v>
      </c>
      <c r="F26" s="505">
        <f t="shared" si="14"/>
        <v>0</v>
      </c>
      <c r="G26" s="502">
        <f t="shared" si="14"/>
        <v>0</v>
      </c>
      <c r="H26" s="502">
        <f t="shared" si="14"/>
        <v>0</v>
      </c>
      <c r="I26" s="502">
        <f t="shared" si="14"/>
        <v>0</v>
      </c>
      <c r="J26" s="142">
        <f t="shared" si="14"/>
        <v>0</v>
      </c>
      <c r="K26" s="142">
        <f t="shared" si="14"/>
        <v>0</v>
      </c>
      <c r="L26" s="502">
        <f t="shared" si="14"/>
        <v>0</v>
      </c>
      <c r="M26" s="502">
        <f t="shared" si="14"/>
        <v>0</v>
      </c>
      <c r="N26" s="502">
        <f t="shared" si="14"/>
        <v>0</v>
      </c>
      <c r="O26" s="502">
        <f t="shared" si="14"/>
        <v>0</v>
      </c>
      <c r="P26" s="502">
        <f t="shared" si="14"/>
        <v>0</v>
      </c>
      <c r="Q26" s="502">
        <f t="shared" si="14"/>
        <v>0</v>
      </c>
      <c r="R26" s="502">
        <f t="shared" si="14"/>
        <v>0</v>
      </c>
      <c r="S26" s="524">
        <f t="shared" si="14"/>
        <v>0</v>
      </c>
      <c r="T26" s="524">
        <f t="shared" si="14"/>
        <v>0</v>
      </c>
      <c r="U26" s="502">
        <f t="shared" si="14"/>
        <v>0</v>
      </c>
      <c r="V26" s="614">
        <f t="shared" si="14"/>
        <v>0</v>
      </c>
      <c r="W26" s="504">
        <f t="shared" si="14"/>
        <v>0</v>
      </c>
      <c r="X26" s="614">
        <f t="shared" si="14"/>
        <v>0</v>
      </c>
      <c r="Y26" s="504">
        <f t="shared" si="14"/>
        <v>0</v>
      </c>
      <c r="Z26" s="502">
        <f t="shared" si="14"/>
        <v>0</v>
      </c>
      <c r="AA26" s="524">
        <f t="shared" si="14"/>
        <v>0</v>
      </c>
      <c r="AB26" s="502">
        <f t="shared" si="14"/>
        <v>0</v>
      </c>
      <c r="AC26" s="502">
        <f t="shared" si="14"/>
        <v>0</v>
      </c>
      <c r="AD26" s="502">
        <f t="shared" si="14"/>
        <v>0</v>
      </c>
      <c r="AE26" s="502"/>
      <c r="AF26" s="502">
        <f>MIN(0,AF23-2*AF24)</f>
        <v>0</v>
      </c>
      <c r="AG26" s="502">
        <f>MIN(0,AG23-2*AG24)</f>
        <v>0</v>
      </c>
      <c r="AH26" s="502">
        <f>MIN(0,AH23-2*AH24)</f>
        <v>0</v>
      </c>
      <c r="AI26" s="502">
        <f>MIN(0,AI23-2*AI24)</f>
        <v>0</v>
      </c>
      <c r="AJ26" s="502"/>
      <c r="AK26" s="502">
        <f t="shared" ref="AK26:BS26" si="15">MIN(0,AK23-2*AK24)</f>
        <v>0</v>
      </c>
      <c r="AL26" s="502">
        <f t="shared" si="15"/>
        <v>0</v>
      </c>
      <c r="AM26" s="502">
        <f t="shared" si="15"/>
        <v>0</v>
      </c>
      <c r="AN26" s="502">
        <f t="shared" si="15"/>
        <v>0</v>
      </c>
      <c r="AO26" s="502">
        <f t="shared" si="15"/>
        <v>0</v>
      </c>
      <c r="AP26" s="502">
        <f t="shared" si="15"/>
        <v>0</v>
      </c>
      <c r="AQ26" s="502">
        <f t="shared" si="15"/>
        <v>0</v>
      </c>
      <c r="AR26" s="502">
        <f t="shared" si="15"/>
        <v>0</v>
      </c>
      <c r="AS26" s="502">
        <f t="shared" si="15"/>
        <v>0</v>
      </c>
      <c r="AT26" s="502">
        <f t="shared" si="15"/>
        <v>0</v>
      </c>
      <c r="AU26" s="502">
        <f t="shared" si="15"/>
        <v>0</v>
      </c>
      <c r="AV26" s="502">
        <f t="shared" si="15"/>
        <v>0</v>
      </c>
      <c r="AW26" s="502">
        <f t="shared" si="15"/>
        <v>0</v>
      </c>
      <c r="AX26" s="502">
        <f t="shared" si="15"/>
        <v>0</v>
      </c>
      <c r="AY26" s="502">
        <f t="shared" si="15"/>
        <v>0</v>
      </c>
      <c r="AZ26" s="502">
        <f t="shared" si="15"/>
        <v>0</v>
      </c>
      <c r="BA26" s="502">
        <f t="shared" si="15"/>
        <v>0</v>
      </c>
      <c r="BB26" s="502">
        <f t="shared" si="15"/>
        <v>0</v>
      </c>
      <c r="BC26" s="502">
        <f t="shared" si="15"/>
        <v>0</v>
      </c>
      <c r="BD26" s="502">
        <f t="shared" si="15"/>
        <v>0</v>
      </c>
      <c r="BE26" s="502">
        <f t="shared" si="15"/>
        <v>0</v>
      </c>
      <c r="BF26" s="502">
        <f t="shared" si="15"/>
        <v>0</v>
      </c>
      <c r="BG26" s="519">
        <f t="shared" si="15"/>
        <v>0</v>
      </c>
      <c r="BH26" s="519">
        <f t="shared" si="15"/>
        <v>0</v>
      </c>
      <c r="BI26" s="519">
        <f t="shared" si="15"/>
        <v>0</v>
      </c>
      <c r="BJ26" s="524">
        <f t="shared" si="15"/>
        <v>0</v>
      </c>
      <c r="BK26" s="576">
        <f t="shared" si="15"/>
        <v>0</v>
      </c>
      <c r="BL26" s="614">
        <f t="shared" si="15"/>
        <v>0</v>
      </c>
      <c r="BM26" s="614">
        <f t="shared" si="15"/>
        <v>0</v>
      </c>
      <c r="BN26" s="502">
        <f t="shared" si="15"/>
        <v>0</v>
      </c>
      <c r="BO26" s="502">
        <f t="shared" si="15"/>
        <v>0</v>
      </c>
      <c r="BP26" s="502">
        <f t="shared" si="15"/>
        <v>0</v>
      </c>
      <c r="BQ26" s="502">
        <f t="shared" si="15"/>
        <v>0</v>
      </c>
      <c r="BR26" s="502">
        <f t="shared" si="15"/>
        <v>0</v>
      </c>
      <c r="BS26" s="502">
        <f t="shared" si="15"/>
        <v>0</v>
      </c>
      <c r="BT26" s="502">
        <f>MIN(0,(BT23-ultimoDiaTrim)-2*BT24)</f>
        <v>0</v>
      </c>
      <c r="BU26" s="502">
        <f>BU24+2*BU25</f>
        <v>0</v>
      </c>
      <c r="BV26" s="515">
        <f>BV24+2*BV25</f>
        <v>0</v>
      </c>
    </row>
    <row r="27" spans="1:78">
      <c r="C27" s="71"/>
      <c r="D27" s="71"/>
    </row>
    <row r="30" spans="1:78">
      <c r="C30" s="470" t="str">
        <f>Criterios!A4</f>
        <v>Fecha Informe: 17 mar. 2026</v>
      </c>
    </row>
    <row r="32" spans="1:78">
      <c r="C32" s="526"/>
      <c r="D32" s="526"/>
    </row>
  </sheetData>
  <sheetProtection algorithmName="SHA-512" hashValue="0tfKFkbs2tZ1i+TUr8mCrxmgj9XK2uLzzAsYJf9sBb2bhr8YVNIgva+uArZBqLC2vf10cy2/HiGm9jbE3LUuXQ==" saltValue="WEzt8ROHm6XokCKYdABO5w==" spinCount="100000" sheet="1" objects="1" scenarios="1"/>
  <mergeCells count="73">
    <mergeCell ref="X5:X7"/>
    <mergeCell ref="M5:M7"/>
    <mergeCell ref="Q5:Q7"/>
    <mergeCell ref="O5:O7"/>
    <mergeCell ref="P5:P7"/>
    <mergeCell ref="R5:R7"/>
    <mergeCell ref="U5:U7"/>
    <mergeCell ref="V5:V7"/>
    <mergeCell ref="S5:S7"/>
    <mergeCell ref="T5:T7"/>
    <mergeCell ref="W5:W7"/>
    <mergeCell ref="N5:N7"/>
    <mergeCell ref="G5:G7"/>
    <mergeCell ref="I5:I7"/>
    <mergeCell ref="L5:L7"/>
    <mergeCell ref="J5:J7"/>
    <mergeCell ref="K5:K7"/>
    <mergeCell ref="H5:H7"/>
    <mergeCell ref="A5:A7"/>
    <mergeCell ref="C5:C6"/>
    <mergeCell ref="D5:D7"/>
    <mergeCell ref="E5:E7"/>
    <mergeCell ref="F5:F7"/>
    <mergeCell ref="BV5:BV7"/>
    <mergeCell ref="AS5:AS7"/>
    <mergeCell ref="AB5:AB7"/>
    <mergeCell ref="AC5:AC7"/>
    <mergeCell ref="AF5:AF7"/>
    <mergeCell ref="AG5:AG7"/>
    <mergeCell ref="AP5:AP7"/>
    <mergeCell ref="AQ5:AQ7"/>
    <mergeCell ref="BU5:BU7"/>
    <mergeCell ref="BF5:BF7"/>
    <mergeCell ref="BG5:BG7"/>
    <mergeCell ref="BH5:BH7"/>
    <mergeCell ref="BJ5:BJ7"/>
    <mergeCell ref="BL5:BL7"/>
    <mergeCell ref="BM5:BM7"/>
    <mergeCell ref="BK5:BK7"/>
    <mergeCell ref="Y5:Y7"/>
    <mergeCell ref="BE5:BE7"/>
    <mergeCell ref="AT5:AT7"/>
    <mergeCell ref="AU5:AU7"/>
    <mergeCell ref="AV5:AV7"/>
    <mergeCell ref="AW5:AW7"/>
    <mergeCell ref="AX5:AX7"/>
    <mergeCell ref="AY5:AY7"/>
    <mergeCell ref="AZ5:AZ7"/>
    <mergeCell ref="BA5:BA7"/>
    <mergeCell ref="BB5:BB7"/>
    <mergeCell ref="BC5:BC7"/>
    <mergeCell ref="Z5:Z7"/>
    <mergeCell ref="AA5:AA7"/>
    <mergeCell ref="AE5:AE7"/>
    <mergeCell ref="AJ5:AJ7"/>
    <mergeCell ref="BT5:BT7"/>
    <mergeCell ref="AM5:AM7"/>
    <mergeCell ref="AN5:AN7"/>
    <mergeCell ref="AO5:AO7"/>
    <mergeCell ref="BS5:BS7"/>
    <mergeCell ref="BQ5:BQ7"/>
    <mergeCell ref="BP5:BP7"/>
    <mergeCell ref="BR5:BR7"/>
    <mergeCell ref="BI5:BI7"/>
    <mergeCell ref="BN5:BN7"/>
    <mergeCell ref="BO5:BO7"/>
    <mergeCell ref="BD5:BD7"/>
    <mergeCell ref="AR5:AR7"/>
    <mergeCell ref="AD5:AD7"/>
    <mergeCell ref="AH5:AH7"/>
    <mergeCell ref="AI5:AI7"/>
    <mergeCell ref="AK5:AK7"/>
    <mergeCell ref="AL5:AL7"/>
  </mergeCells>
  <conditionalFormatting sqref="E15:E17 E9:E12">
    <cfRule type="cellIs" dxfId="398" priority="297" stopIfTrue="1" operator="notBetween">
      <formula>$E$25</formula>
      <formula>$E$26</formula>
    </cfRule>
  </conditionalFormatting>
  <conditionalFormatting sqref="F9:F12 F15:F17">
    <cfRule type="expression" dxfId="397" priority="701" stopIfTrue="1">
      <formula>IF(F9&lt;&gt;G9,TRUE,FALSE)</formula>
    </cfRule>
  </conditionalFormatting>
  <conditionalFormatting sqref="F9:F12 F15:F17">
    <cfRule type="cellIs" dxfId="396" priority="296" stopIfTrue="1" operator="notBetween">
      <formula>$F$25</formula>
      <formula>$F$26</formula>
    </cfRule>
  </conditionalFormatting>
  <conditionalFormatting sqref="G10 G15:G17">
    <cfRule type="cellIs" dxfId="395" priority="702" stopIfTrue="1" operator="notBetween">
      <formula>$G$25</formula>
      <formula>$G$26</formula>
    </cfRule>
  </conditionalFormatting>
  <conditionalFormatting sqref="H15:H17 H9:H12">
    <cfRule type="cellIs" dxfId="394" priority="446" stopIfTrue="1" operator="notBetween">
      <formula>$H$25</formula>
      <formula>$H$26</formula>
    </cfRule>
  </conditionalFormatting>
  <conditionalFormatting sqref="I15:I17 I9:I12">
    <cfRule type="cellIs" dxfId="393" priority="716" stopIfTrue="1" operator="notBetween">
      <formula>$I$25</formula>
      <formula>$I$26</formula>
    </cfRule>
  </conditionalFormatting>
  <conditionalFormatting sqref="I11:I12">
    <cfRule type="cellIs" dxfId="392" priority="2447" stopIfTrue="1" operator="greaterThan">
      <formula>#REF!</formula>
    </cfRule>
    <cfRule type="cellIs" dxfId="391" priority="2448" stopIfTrue="1" operator="lessThan">
      <formula>#REF!</formula>
    </cfRule>
  </conditionalFormatting>
  <conditionalFormatting sqref="J9:K12">
    <cfRule type="cellIs" dxfId="390" priority="307" stopIfTrue="1" operator="notBetween">
      <formula>$K$25</formula>
      <formula>$K$26</formula>
    </cfRule>
  </conditionalFormatting>
  <conditionalFormatting sqref="J15:K17">
    <cfRule type="cellIs" dxfId="389" priority="351" stopIfTrue="1" operator="notBetween">
      <formula>$K$25</formula>
      <formula>$K$26</formula>
    </cfRule>
  </conditionalFormatting>
  <conditionalFormatting sqref="L15:L17 L9:L12">
    <cfRule type="cellIs" dxfId="388" priority="452" stopIfTrue="1" operator="notBetween">
      <formula>$L$25</formula>
      <formula>$L$26</formula>
    </cfRule>
  </conditionalFormatting>
  <conditionalFormatting sqref="N15:N17 N9:N12">
    <cfRule type="cellIs" dxfId="387" priority="349" stopIfTrue="1" operator="notBetween">
      <formula>$N$25</formula>
      <formula>$N$26</formula>
    </cfRule>
  </conditionalFormatting>
  <conditionalFormatting sqref="O15:O17 O9:O12">
    <cfRule type="cellIs" dxfId="386" priority="450" stopIfTrue="1" operator="notBetween">
      <formula>$O$25</formula>
      <formula>$O$26</formula>
    </cfRule>
  </conditionalFormatting>
  <conditionalFormatting sqref="Q15:Q17 Q9:Q12">
    <cfRule type="cellIs" dxfId="385" priority="401" stopIfTrue="1" operator="notBetween">
      <formula>$Q$25</formula>
      <formula>$Q$26</formula>
    </cfRule>
  </conditionalFormatting>
  <conditionalFormatting sqref="R15:R17 R9:R12">
    <cfRule type="cellIs" dxfId="384" priority="447" stopIfTrue="1" operator="notBetween">
      <formula>$R$25</formula>
      <formula>$R$26</formula>
    </cfRule>
  </conditionalFormatting>
  <conditionalFormatting sqref="T15:T17 T9:T12">
    <cfRule type="cellIs" dxfId="383" priority="445" stopIfTrue="1" operator="notBetween">
      <formula>$T$25</formula>
      <formula>$T$26</formula>
    </cfRule>
  </conditionalFormatting>
  <conditionalFormatting sqref="U15:U17 U9:U12">
    <cfRule type="cellIs" dxfId="382" priority="444" stopIfTrue="1" operator="notBetween">
      <formula>$U$25</formula>
      <formula>$U$26</formula>
    </cfRule>
  </conditionalFormatting>
  <conditionalFormatting sqref="V15:V17 V9:V12">
    <cfRule type="cellIs" dxfId="381" priority="443" stopIfTrue="1" operator="notBetween">
      <formula>$V$25</formula>
      <formula>$V$26</formula>
    </cfRule>
  </conditionalFormatting>
  <conditionalFormatting sqref="W9">
    <cfRule type="cellIs" dxfId="380" priority="2561" stopIfTrue="1" operator="greaterThan">
      <formula>$BV$9*$E$9</formula>
    </cfRule>
    <cfRule type="cellIs" dxfId="379" priority="2562" stopIfTrue="1" operator="lessThan">
      <formula>$BV$9*$E$9</formula>
    </cfRule>
  </conditionalFormatting>
  <conditionalFormatting sqref="W10">
    <cfRule type="cellIs" dxfId="378" priority="2570" stopIfTrue="1" operator="greaterThan">
      <formula>$BV$10*$E$10</formula>
    </cfRule>
    <cfRule type="cellIs" dxfId="377" priority="2571" stopIfTrue="1" operator="lessThan">
      <formula>$BV$10*$E$10</formula>
    </cfRule>
  </conditionalFormatting>
  <conditionalFormatting sqref="W11">
    <cfRule type="cellIs" dxfId="376" priority="2574" stopIfTrue="1" operator="greaterThan">
      <formula>$BV$11*$E$11</formula>
    </cfRule>
    <cfRule type="cellIs" dxfId="375" priority="2575" stopIfTrue="1" operator="lessThan">
      <formula>$BV$11*$E$11</formula>
    </cfRule>
  </conditionalFormatting>
  <conditionalFormatting sqref="W12">
    <cfRule type="cellIs" dxfId="374" priority="2576" stopIfTrue="1" operator="greaterThan">
      <formula>$BV$12*$E$12</formula>
    </cfRule>
    <cfRule type="cellIs" dxfId="373" priority="2577" stopIfTrue="1" operator="lessThan">
      <formula>$BV$12*$E$12</formula>
    </cfRule>
  </conditionalFormatting>
  <conditionalFormatting sqref="W15">
    <cfRule type="cellIs" dxfId="372" priority="2590" stopIfTrue="1" operator="greaterThan">
      <formula>$BV$15*$E$15</formula>
    </cfRule>
    <cfRule type="cellIs" dxfId="371" priority="2591" stopIfTrue="1" operator="lessThan">
      <formula>$BV$15*$E$15</formula>
    </cfRule>
  </conditionalFormatting>
  <conditionalFormatting sqref="W16">
    <cfRule type="cellIs" dxfId="370" priority="2592" stopIfTrue="1" operator="greaterThan">
      <formula>$BV$16*$E$16</formula>
    </cfRule>
    <cfRule type="cellIs" dxfId="369" priority="2593" stopIfTrue="1" operator="lessThan">
      <formula>$BV$16*$E$16</formula>
    </cfRule>
  </conditionalFormatting>
  <conditionalFormatting sqref="W17">
    <cfRule type="cellIs" dxfId="368" priority="2594" stopIfTrue="1" operator="greaterThan">
      <formula>$BV$17*$E$17</formula>
    </cfRule>
    <cfRule type="cellIs" dxfId="367" priority="2595" stopIfTrue="1" operator="lessThan">
      <formula>$BV$17*$E$17</formula>
    </cfRule>
  </conditionalFormatting>
  <conditionalFormatting sqref="Y15:Y17 Y9:Y12">
    <cfRule type="cellIs" dxfId="366" priority="441" stopIfTrue="1" operator="notBetween">
      <formula>$Y$25</formula>
      <formula>$Y$26</formula>
    </cfRule>
  </conditionalFormatting>
  <conditionalFormatting sqref="Z15:Z17 Z9:Z12">
    <cfRule type="cellIs" dxfId="365" priority="439" stopIfTrue="1" operator="notBetween">
      <formula>$Z$25</formula>
      <formula>$Z$26</formula>
    </cfRule>
  </conditionalFormatting>
  <conditionalFormatting sqref="AA15:AA17 AA9:AA12">
    <cfRule type="cellIs" dxfId="364" priority="438" stopIfTrue="1" operator="notBetween">
      <formula>$AA$25</formula>
      <formula>$AA$26</formula>
    </cfRule>
  </conditionalFormatting>
  <conditionalFormatting sqref="AB15:AB17 AB9:AB12">
    <cfRule type="cellIs" dxfId="363" priority="294" stopIfTrue="1" operator="notBetween">
      <formula>$AB$25</formula>
      <formula>$AB$26</formula>
    </cfRule>
  </conditionalFormatting>
  <conditionalFormatting sqref="AC15:AC17 AC9:AC12">
    <cfRule type="cellIs" dxfId="362" priority="302" stopIfTrue="1" operator="notBetween">
      <formula>$AC$25</formula>
      <formula>$AC$26</formula>
    </cfRule>
  </conditionalFormatting>
  <conditionalFormatting sqref="AD15:AE17 AD9:AE12">
    <cfRule type="cellIs" dxfId="361" priority="312" stopIfTrue="1" operator="notBetween">
      <formula>$AD$25</formula>
      <formula>$AD$26</formula>
    </cfRule>
  </conditionalFormatting>
  <conditionalFormatting sqref="AF15:AF17 AF9:AF12">
    <cfRule type="cellIs" dxfId="360" priority="293" stopIfTrue="1" operator="notBetween">
      <formula>$AF$25</formula>
      <formula>$AF$26</formula>
    </cfRule>
  </conditionalFormatting>
  <conditionalFormatting sqref="AH15:AH17 AH9:AH12">
    <cfRule type="cellIs" dxfId="359" priority="310" stopIfTrue="1" operator="notBetween">
      <formula>$AH$25</formula>
      <formula>$AH$26</formula>
    </cfRule>
  </conditionalFormatting>
  <conditionalFormatting sqref="AI15:AJ17 AI9:AJ12">
    <cfRule type="cellIs" dxfId="358" priority="309" stopIfTrue="1" operator="notBetween">
      <formula>$AI$25</formula>
      <formula>$AI$26</formula>
    </cfRule>
  </conditionalFormatting>
  <conditionalFormatting sqref="AK15:AK17 AK9:AK12">
    <cfRule type="cellIs" dxfId="357" priority="433" stopIfTrue="1" operator="notBetween">
      <formula>$AK$25</formula>
      <formula>$AK$26</formula>
    </cfRule>
  </conditionalFormatting>
  <conditionalFormatting sqref="AL15:AL17 AL9:AL12">
    <cfRule type="cellIs" dxfId="356" priority="432" stopIfTrue="1" operator="notBetween">
      <formula>$AL$25</formula>
      <formula>$AL$26</formula>
    </cfRule>
  </conditionalFormatting>
  <conditionalFormatting sqref="AM15:AM17 AM9:AM12">
    <cfRule type="cellIs" dxfId="355" priority="292" stopIfTrue="1" operator="notBetween">
      <formula>$AM$25</formula>
      <formula>$AM$26</formula>
    </cfRule>
  </conditionalFormatting>
  <conditionalFormatting sqref="AR15:AR17 AR9:AR12">
    <cfRule type="cellIs" dxfId="354" priority="308" stopIfTrue="1" operator="notBetween">
      <formula>$AR$25</formula>
      <formula>$AR$26</formula>
    </cfRule>
  </conditionalFormatting>
  <conditionalFormatting sqref="AS15:AS17 AS9:AS12">
    <cfRule type="cellIs" dxfId="353" priority="291" stopIfTrue="1" operator="notBetween">
      <formula>$AS$25</formula>
      <formula>$AS$26</formula>
    </cfRule>
  </conditionalFormatting>
  <conditionalFormatting sqref="AT15:AT17 AT9:AT12">
    <cfRule type="cellIs" dxfId="352" priority="290" stopIfTrue="1" operator="notBetween">
      <formula>$AT$25</formula>
      <formula>$AT$26</formula>
    </cfRule>
  </conditionalFormatting>
  <conditionalFormatting sqref="AU15:AU17 AU9:AU12">
    <cfRule type="cellIs" dxfId="351" priority="289" stopIfTrue="1" operator="notBetween">
      <formula>$AU$25</formula>
      <formula>$AU$26</formula>
    </cfRule>
  </conditionalFormatting>
  <conditionalFormatting sqref="AV15:AV17 AV9:AV12">
    <cfRule type="cellIs" dxfId="350" priority="288" stopIfTrue="1" operator="notBetween">
      <formula>$AV$25</formula>
      <formula>$AV$26</formula>
    </cfRule>
  </conditionalFormatting>
  <conditionalFormatting sqref="AW15:AW17 AW9:AW12">
    <cfRule type="cellIs" dxfId="349" priority="422" stopIfTrue="1" operator="notBetween">
      <formula>$AW$25</formula>
      <formula>$AW$26</formula>
    </cfRule>
  </conditionalFormatting>
  <conditionalFormatting sqref="AX15:AX17 AX9:AX12">
    <cfRule type="cellIs" dxfId="348" priority="421" stopIfTrue="1" operator="notBetween">
      <formula>$AX$25</formula>
      <formula>$AX$26</formula>
    </cfRule>
  </conditionalFormatting>
  <conditionalFormatting sqref="AY15:AY17 AY9:AY12">
    <cfRule type="cellIs" dxfId="347" priority="420" stopIfTrue="1" operator="notBetween">
      <formula>$AY$25</formula>
      <formula>$AY$26</formula>
    </cfRule>
  </conditionalFormatting>
  <conditionalFormatting sqref="AZ15:AZ17 AZ9:AZ12">
    <cfRule type="cellIs" dxfId="346" priority="419" stopIfTrue="1" operator="notBetween">
      <formula>$AZ$25</formula>
      <formula>$AZ$26</formula>
    </cfRule>
  </conditionalFormatting>
  <conditionalFormatting sqref="BA15:BA17 BA9:BA12">
    <cfRule type="cellIs" dxfId="345" priority="418" stopIfTrue="1" operator="notBetween">
      <formula>$BA$25</formula>
      <formula>$BA$26</formula>
    </cfRule>
  </conditionalFormatting>
  <conditionalFormatting sqref="BB15:BB17 BB9:BB12">
    <cfRule type="cellIs" dxfId="344" priority="417" stopIfTrue="1" operator="notBetween">
      <formula>$BB$25</formula>
      <formula>$BB$26</formula>
    </cfRule>
  </conditionalFormatting>
  <conditionalFormatting sqref="BC15:BC17 BC9:BC12">
    <cfRule type="cellIs" dxfId="343" priority="283" stopIfTrue="1" operator="notBetween">
      <formula>$BC$25</formula>
      <formula>$BC$26</formula>
    </cfRule>
  </conditionalFormatting>
  <conditionalFormatting sqref="BD15:BD17 BD9:BD12">
    <cfRule type="cellIs" dxfId="342" priority="287" stopIfTrue="1" operator="notBetween">
      <formula>$BD$25</formula>
      <formula>$BD$26</formula>
    </cfRule>
  </conditionalFormatting>
  <conditionalFormatting sqref="BE15:BE17 BE9:BE12">
    <cfRule type="cellIs" dxfId="341" priority="414" stopIfTrue="1" operator="notBetween">
      <formula>$BE$25</formula>
      <formula>$BE$26</formula>
    </cfRule>
  </conditionalFormatting>
  <conditionalFormatting sqref="BF15:BF17 BF9:BF12">
    <cfRule type="cellIs" dxfId="340" priority="413" stopIfTrue="1" operator="notBetween">
      <formula>$BF$25</formula>
      <formula>$BF$26</formula>
    </cfRule>
  </conditionalFormatting>
  <conditionalFormatting sqref="BG15:BG17 BG9:BG12">
    <cfRule type="cellIs" dxfId="339" priority="286" stopIfTrue="1" operator="notBetween">
      <formula>$BG$25</formula>
      <formula>$BG$26</formula>
    </cfRule>
  </conditionalFormatting>
  <conditionalFormatting sqref="BH15:BH17 BH9:BH12">
    <cfRule type="cellIs" dxfId="338" priority="285" stopIfTrue="1" operator="notBetween">
      <formula>$BH$25</formula>
      <formula>$BH$26</formula>
    </cfRule>
  </conditionalFormatting>
  <conditionalFormatting sqref="BI15:BI17 BI9:BI12">
    <cfRule type="cellIs" dxfId="337" priority="410" stopIfTrue="1" operator="notBetween">
      <formula>$BI$25</formula>
      <formula>$BI$26</formula>
    </cfRule>
  </conditionalFormatting>
  <conditionalFormatting sqref="BJ15:BJ17 BJ9:BJ12">
    <cfRule type="cellIs" dxfId="336" priority="409" stopIfTrue="1" operator="notBetween">
      <formula>$BJ$25</formula>
      <formula>$BJ$26</formula>
    </cfRule>
  </conditionalFormatting>
  <conditionalFormatting sqref="BK15:BK17 BK9:BK12">
    <cfRule type="cellIs" dxfId="335" priority="408" stopIfTrue="1" operator="notBetween">
      <formula>$BK$25</formula>
      <formula>$BK$26</formula>
    </cfRule>
  </conditionalFormatting>
  <conditionalFormatting sqref="BL15:BL17 BL9:BL12">
    <cfRule type="cellIs" dxfId="334" priority="284" stopIfTrue="1" operator="notBetween">
      <formula>$BL$25</formula>
      <formula>$BL$26</formula>
    </cfRule>
  </conditionalFormatting>
  <conditionalFormatting sqref="BM15:BM17 BM9:BM12">
    <cfRule type="cellIs" dxfId="333" priority="406" stopIfTrue="1" operator="notBetween">
      <formula>$BM$25</formula>
      <formula>$BM$26</formula>
    </cfRule>
  </conditionalFormatting>
  <conditionalFormatting sqref="BN15:BN17 BN9:BN12">
    <cfRule type="cellIs" dxfId="332" priority="405" stopIfTrue="1" operator="notBetween">
      <formula>$BN$25</formula>
      <formula>$BN$26</formula>
    </cfRule>
  </conditionalFormatting>
  <conditionalFormatting sqref="BO15:BO17 BO9:BO12">
    <cfRule type="cellIs" dxfId="331" priority="404" stopIfTrue="1" operator="notBetween">
      <formula>$BO$25</formula>
      <formula>$BO$26</formula>
    </cfRule>
  </conditionalFormatting>
  <conditionalFormatting sqref="BP15:BP17 BP9:BP12">
    <cfRule type="cellIs" dxfId="330" priority="2" stopIfTrue="1" operator="notBetween">
      <formula>$BP$25</formula>
      <formula>$BP$26</formula>
    </cfRule>
  </conditionalFormatting>
  <conditionalFormatting sqref="BQ15:BQ17 BQ9:BQ12">
    <cfRule type="cellIs" dxfId="329" priority="403" stopIfTrue="1" operator="notBetween">
      <formula>$BQ$25</formula>
      <formula>$BQ$26</formula>
    </cfRule>
  </conditionalFormatting>
  <conditionalFormatting sqref="BR15:BR17 BR9:BR12">
    <cfRule type="cellIs" dxfId="328" priority="1" stopIfTrue="1" operator="notBetween">
      <formula>$BR$25</formula>
      <formula>$BR$26</formula>
    </cfRule>
  </conditionalFormatting>
  <conditionalFormatting sqref="BS15:BS17 BS9:BS12">
    <cfRule type="cellIs" dxfId="327" priority="402" stopIfTrue="1" operator="notBetween">
      <formula>$BS$25</formula>
      <formula>$BS$26</formula>
    </cfRule>
  </conditionalFormatting>
  <conditionalFormatting sqref="BT9:BT12 BT15:BT17">
    <cfRule type="expression" dxfId="326" priority="4289" stopIfTrue="1">
      <formula>NOT(AND($BT9-ultimoDiaTrim&gt;=$BT$26,$BT9-ultimoDiaTrim&lt;=$BT$25))</formula>
    </cfRule>
  </conditionalFormatting>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dimension ref="A1:BZ33"/>
  <sheetViews>
    <sheetView topLeftCell="C1" zoomScale="85" zoomScaleNormal="85" workbookViewId="0">
      <selection activeCell="C13" sqref="C13"/>
    </sheetView>
  </sheetViews>
  <sheetFormatPr baseColWidth="10" defaultColWidth="11.42578125" defaultRowHeight="12.75"/>
  <cols>
    <col min="1" max="1" width="8.85546875" style="486" hidden="1" customWidth="1"/>
    <col min="2" max="2" width="9.42578125" style="486" hidden="1" customWidth="1"/>
    <col min="3" max="3" width="37.28515625" style="534" bestFit="1" customWidth="1"/>
    <col min="4" max="4" width="7.42578125" style="470" customWidth="1"/>
    <col min="5" max="5" width="15.5703125" style="470" customWidth="1"/>
    <col min="6" max="6" width="15.85546875" style="470" customWidth="1"/>
    <col min="7" max="7" width="13.5703125" style="470" customWidth="1"/>
    <col min="8" max="9" width="14" style="470" customWidth="1"/>
    <col min="10" max="10" width="14.42578125" customWidth="1"/>
    <col min="11" max="13" width="14" style="607" customWidth="1"/>
    <col min="14" max="15" width="14" style="470" customWidth="1"/>
    <col min="16" max="17" width="14" style="491" customWidth="1"/>
    <col min="18" max="18" width="14" style="571" customWidth="1"/>
    <col min="19" max="19" width="14.28515625" style="491" customWidth="1"/>
    <col min="20" max="20" width="13.7109375" customWidth="1"/>
    <col min="21" max="21" width="13" style="470" customWidth="1"/>
    <col min="22" max="22" width="14.28515625" style="607" customWidth="1"/>
    <col min="23" max="23" width="12.85546875" style="470" customWidth="1"/>
    <col min="24" max="24" width="14.28515625" style="491" customWidth="1"/>
    <col min="25" max="26" width="14.28515625" style="571" customWidth="1"/>
    <col min="27" max="27" width="13.7109375" style="470" customWidth="1"/>
    <col min="28" max="29" width="16.28515625" style="470" customWidth="1"/>
    <col min="30" max="30" width="15.140625" style="470" customWidth="1"/>
    <col min="31" max="31" width="16.28515625" style="470" customWidth="1"/>
    <col min="32" max="32" width="12.5703125" style="470" customWidth="1"/>
    <col min="33" max="35" width="13" style="470" customWidth="1"/>
    <col min="36" max="37" width="12.85546875" style="470" customWidth="1"/>
    <col min="38" max="39" width="11.42578125" style="470"/>
    <col min="40" max="40" width="12.42578125" style="470" customWidth="1"/>
    <col min="41" max="41" width="12.28515625" style="470" customWidth="1"/>
    <col min="42" max="42" width="16.140625" style="491" customWidth="1"/>
    <col min="43" max="48" width="16.140625" style="571" customWidth="1"/>
    <col min="49" max="49" width="14.85546875" style="470" customWidth="1"/>
    <col min="50" max="50" width="11.42578125" style="470"/>
    <col min="51" max="51" width="11.5703125" customWidth="1"/>
    <col min="52" max="52" width="11.42578125" style="470" customWidth="1"/>
    <col min="53" max="64" width="11.42578125" style="470"/>
    <col min="65" max="69" width="11.42578125" style="470" customWidth="1"/>
    <col min="70" max="72" width="11.42578125" style="470"/>
    <col min="73" max="73" width="14.85546875" style="470" hidden="1" customWidth="1"/>
    <col min="74" max="77" width="11.42578125" style="470"/>
    <col min="78" max="78" width="0" style="1025" hidden="1" customWidth="1"/>
    <col min="79" max="16384" width="11.42578125" style="470"/>
  </cols>
  <sheetData>
    <row r="1" spans="1:78">
      <c r="C1" s="527" t="str">
        <f>Criterios!A9 &amp;"  "&amp;Criterios!B9</f>
        <v>Tribunales de Justicia  CATALUÑA</v>
      </c>
    </row>
    <row r="2" spans="1:78" ht="16.5" customHeight="1">
      <c r="C2" s="527" t="str">
        <f>Criterios!A10 &amp;"  "&amp;Criterios!B10 &amp; "  " &amp; IF(NOT(ISBLANK(Criterios!A11)),Criterios!A11 &amp;"  "&amp;Criterios!B11,"")</f>
        <v>Provincias  BARCELONA  Resumenes por Partidos Judiciales  VIC</v>
      </c>
      <c r="D2" s="487"/>
      <c r="E2" s="487"/>
      <c r="F2" s="488"/>
      <c r="G2" s="489"/>
      <c r="H2" s="488"/>
      <c r="I2" s="488"/>
      <c r="J2" s="261"/>
      <c r="K2" s="603"/>
      <c r="L2" s="603"/>
      <c r="M2" s="603"/>
      <c r="N2" s="488"/>
      <c r="O2" s="488"/>
      <c r="P2" s="490"/>
      <c r="Q2" s="490"/>
      <c r="R2" s="581"/>
      <c r="S2" s="490"/>
      <c r="V2" s="603"/>
    </row>
    <row r="3" spans="1:78" ht="25.5" customHeight="1">
      <c r="C3" s="1111"/>
      <c r="D3" s="492"/>
      <c r="E3" s="492"/>
      <c r="G3" s="489"/>
      <c r="H3" s="488"/>
      <c r="I3" s="488"/>
      <c r="K3" s="603"/>
      <c r="L3" s="603"/>
      <c r="M3" s="603"/>
      <c r="N3" s="488"/>
      <c r="O3" s="488"/>
      <c r="P3" s="490"/>
      <c r="Q3" s="490"/>
      <c r="R3" s="581"/>
      <c r="BZ3" s="470"/>
    </row>
    <row r="4" spans="1:78" ht="18.75" customHeight="1" thickBot="1">
      <c r="C4" s="1112"/>
      <c r="D4" s="493"/>
      <c r="E4" s="493"/>
      <c r="F4" s="494"/>
      <c r="G4" s="494"/>
      <c r="H4" s="494"/>
      <c r="I4" s="494"/>
      <c r="J4" s="329"/>
      <c r="K4" s="603"/>
      <c r="L4" s="603"/>
      <c r="M4" s="603"/>
      <c r="N4" s="494"/>
      <c r="O4" s="494"/>
      <c r="P4" s="490"/>
      <c r="Q4" s="490"/>
      <c r="R4" s="581"/>
      <c r="S4" s="490"/>
      <c r="V4" s="603"/>
      <c r="BU4" s="494"/>
      <c r="BZ4" s="470"/>
    </row>
    <row r="5" spans="1:78" ht="15.75" customHeight="1">
      <c r="A5" s="1284" t="s">
        <v>351</v>
      </c>
      <c r="B5" s="271"/>
      <c r="C5" s="1532" t="str">
        <f>"Año:  " &amp;Criterios!B$5 &amp; "          Trimestre   " &amp;Criterios!D$5 &amp; " al " &amp;Criterios!D$6</f>
        <v>Año:  2025          Trimestre   4 al 4</v>
      </c>
      <c r="D5" s="1534" t="s">
        <v>376</v>
      </c>
      <c r="E5" s="1494" t="s">
        <v>555</v>
      </c>
      <c r="F5" s="1523" t="s">
        <v>406</v>
      </c>
      <c r="G5" s="1494" t="s">
        <v>128</v>
      </c>
      <c r="H5" s="1494" t="s">
        <v>585</v>
      </c>
      <c r="I5" s="1494" t="s">
        <v>556</v>
      </c>
      <c r="J5" s="1494" t="s">
        <v>678</v>
      </c>
      <c r="K5" s="1494" t="s">
        <v>557</v>
      </c>
      <c r="L5" s="1494" t="s">
        <v>583</v>
      </c>
      <c r="M5" s="1494" t="s">
        <v>679</v>
      </c>
      <c r="N5" s="1494" t="s">
        <v>582</v>
      </c>
      <c r="O5" s="1494" t="s">
        <v>609</v>
      </c>
      <c r="P5" s="1529" t="s">
        <v>671</v>
      </c>
      <c r="Q5" s="1529" t="s">
        <v>673</v>
      </c>
      <c r="R5" s="1494" t="s">
        <v>589</v>
      </c>
      <c r="S5" s="1494" t="s">
        <v>558</v>
      </c>
      <c r="T5" s="1494" t="s">
        <v>762</v>
      </c>
      <c r="U5" s="1494" t="s">
        <v>763</v>
      </c>
      <c r="V5" s="1497" t="s">
        <v>662</v>
      </c>
      <c r="W5" s="1512" t="s">
        <v>571</v>
      </c>
      <c r="X5" s="1515" t="s">
        <v>572</v>
      </c>
      <c r="Y5" s="1491" t="s">
        <v>590</v>
      </c>
      <c r="Z5" s="1491" t="s">
        <v>610</v>
      </c>
      <c r="AA5" s="1494" t="s">
        <v>562</v>
      </c>
      <c r="AB5" s="1494" t="s">
        <v>573</v>
      </c>
      <c r="AC5" s="1494" t="s">
        <v>574</v>
      </c>
      <c r="AD5" s="1494" t="s">
        <v>528</v>
      </c>
      <c r="AE5" s="1494" t="s">
        <v>680</v>
      </c>
      <c r="AF5" s="1494" t="s">
        <v>182</v>
      </c>
      <c r="AG5" s="1494" t="s">
        <v>575</v>
      </c>
      <c r="AH5" s="1494" t="s">
        <v>563</v>
      </c>
      <c r="AI5" s="1494" t="s">
        <v>564</v>
      </c>
      <c r="AJ5" s="1494" t="s">
        <v>576</v>
      </c>
      <c r="AK5" s="1494" t="s">
        <v>577</v>
      </c>
      <c r="AL5" s="1494" t="s">
        <v>578</v>
      </c>
      <c r="AM5" s="1509" t="s">
        <v>579</v>
      </c>
      <c r="AN5" s="1494" t="s">
        <v>249</v>
      </c>
      <c r="AO5" s="1494" t="s">
        <v>566</v>
      </c>
      <c r="AP5" s="1494" t="s">
        <v>567</v>
      </c>
      <c r="AQ5" s="1494" t="s">
        <v>591</v>
      </c>
      <c r="AR5" s="1494" t="s">
        <v>592</v>
      </c>
      <c r="AS5" s="1494" t="s">
        <v>594</v>
      </c>
      <c r="AT5" s="1494" t="s">
        <v>587</v>
      </c>
      <c r="AU5" s="1494" t="s">
        <v>828</v>
      </c>
      <c r="AV5" s="1494" t="s">
        <v>333</v>
      </c>
      <c r="AW5" s="1494" t="s">
        <v>580</v>
      </c>
      <c r="AX5" s="1494" t="s">
        <v>533</v>
      </c>
      <c r="BU5" s="1494" t="s">
        <v>764</v>
      </c>
      <c r="BZ5" s="470"/>
    </row>
    <row r="6" spans="1:78" ht="21.75" customHeight="1">
      <c r="A6" s="1285"/>
      <c r="B6" s="272"/>
      <c r="C6" s="1533"/>
      <c r="D6" s="1535"/>
      <c r="E6" s="1495"/>
      <c r="F6" s="1524"/>
      <c r="G6" s="1495"/>
      <c r="H6" s="1495"/>
      <c r="I6" s="1495"/>
      <c r="J6" s="1495"/>
      <c r="K6" s="1495"/>
      <c r="L6" s="1495"/>
      <c r="M6" s="1495"/>
      <c r="N6" s="1495"/>
      <c r="O6" s="1495"/>
      <c r="P6" s="1530"/>
      <c r="Q6" s="1530"/>
      <c r="R6" s="1495"/>
      <c r="S6" s="1495"/>
      <c r="T6" s="1495"/>
      <c r="U6" s="1495"/>
      <c r="V6" s="1498"/>
      <c r="W6" s="1513"/>
      <c r="X6" s="1516"/>
      <c r="Y6" s="1492"/>
      <c r="Z6" s="1492"/>
      <c r="AA6" s="1495"/>
      <c r="AB6" s="1495"/>
      <c r="AC6" s="1495"/>
      <c r="AD6" s="1495"/>
      <c r="AE6" s="1495"/>
      <c r="AF6" s="1495"/>
      <c r="AG6" s="1495"/>
      <c r="AH6" s="1495"/>
      <c r="AI6" s="1495"/>
      <c r="AJ6" s="1495"/>
      <c r="AK6" s="1495"/>
      <c r="AL6" s="1495"/>
      <c r="AM6" s="1510"/>
      <c r="AN6" s="1495"/>
      <c r="AO6" s="1495"/>
      <c r="AP6" s="1495"/>
      <c r="AQ6" s="1495"/>
      <c r="AR6" s="1495"/>
      <c r="AS6" s="1495"/>
      <c r="AT6" s="1495"/>
      <c r="AU6" s="1495"/>
      <c r="AV6" s="1495"/>
      <c r="AW6" s="1495"/>
      <c r="AX6" s="1495"/>
      <c r="BU6" s="1495"/>
      <c r="BZ6" s="470"/>
    </row>
    <row r="7" spans="1:78" ht="38.25" customHeight="1" thickBot="1">
      <c r="A7" s="1286"/>
      <c r="B7" s="273"/>
      <c r="C7" s="528" t="str">
        <f>Datos!A7</f>
        <v>COMPETENCIAS</v>
      </c>
      <c r="D7" s="1536"/>
      <c r="E7" s="1496"/>
      <c r="F7" s="1525"/>
      <c r="G7" s="1496"/>
      <c r="H7" s="1496"/>
      <c r="I7" s="1496"/>
      <c r="J7" s="1496"/>
      <c r="K7" s="1496"/>
      <c r="L7" s="1496"/>
      <c r="M7" s="1496"/>
      <c r="N7" s="1496"/>
      <c r="O7" s="1496"/>
      <c r="P7" s="1531"/>
      <c r="Q7" s="1531"/>
      <c r="R7" s="1496"/>
      <c r="S7" s="1496"/>
      <c r="T7" s="1496"/>
      <c r="U7" s="1496"/>
      <c r="V7" s="1499"/>
      <c r="W7" s="1514"/>
      <c r="X7" s="1517"/>
      <c r="Y7" s="1493"/>
      <c r="Z7" s="1493"/>
      <c r="AA7" s="1496"/>
      <c r="AB7" s="1496"/>
      <c r="AC7" s="1496"/>
      <c r="AD7" s="1496"/>
      <c r="AE7" s="1496"/>
      <c r="AF7" s="1496"/>
      <c r="AG7" s="1496"/>
      <c r="AH7" s="1496"/>
      <c r="AI7" s="1496"/>
      <c r="AJ7" s="1496"/>
      <c r="AK7" s="1496"/>
      <c r="AL7" s="1496"/>
      <c r="AM7" s="1511"/>
      <c r="AN7" s="1496"/>
      <c r="AO7" s="1496"/>
      <c r="AP7" s="1496"/>
      <c r="AQ7" s="1496"/>
      <c r="AR7" s="1496"/>
      <c r="AS7" s="1496"/>
      <c r="AT7" s="1496"/>
      <c r="AU7" s="1496"/>
      <c r="AV7" s="1496"/>
      <c r="AW7" s="1496"/>
      <c r="AX7" s="1496"/>
      <c r="BU7" s="1496"/>
      <c r="BZ7" s="470"/>
    </row>
    <row r="8" spans="1:78" ht="15" thickTop="1">
      <c r="A8" s="495"/>
      <c r="B8" s="495"/>
      <c r="C8" s="160" t="str">
        <f>Datos!A8</f>
        <v>Jurisdicción Civil ( 1 ):</v>
      </c>
      <c r="D8" s="496"/>
      <c r="E8" s="577"/>
      <c r="F8" s="215"/>
      <c r="G8" s="215"/>
      <c r="H8" s="216"/>
      <c r="I8" s="215"/>
      <c r="J8" s="216"/>
      <c r="K8" s="216"/>
      <c r="L8" s="216"/>
      <c r="M8" s="216"/>
      <c r="N8" s="216"/>
      <c r="O8" s="216"/>
      <c r="P8" s="474"/>
      <c r="Q8" s="474"/>
      <c r="R8" s="582"/>
      <c r="S8" s="474"/>
      <c r="T8" s="298"/>
      <c r="U8" s="298"/>
      <c r="V8" s="216"/>
      <c r="W8" s="220"/>
      <c r="X8" s="475"/>
      <c r="Y8" s="591"/>
      <c r="Z8" s="591"/>
      <c r="AA8" s="215"/>
      <c r="AB8" s="216"/>
      <c r="AC8" s="216"/>
      <c r="AD8" s="216"/>
      <c r="AE8" s="216"/>
      <c r="AF8" s="308"/>
      <c r="AG8" s="215"/>
      <c r="AH8" s="216"/>
      <c r="AI8" s="217"/>
      <c r="AJ8" s="215"/>
      <c r="AK8" s="216"/>
      <c r="AL8" s="218"/>
      <c r="AM8" s="219"/>
      <c r="AN8" s="220"/>
      <c r="AO8" s="221"/>
      <c r="AP8" s="223"/>
      <c r="AQ8" s="572"/>
      <c r="AR8" s="572"/>
      <c r="AS8" s="572"/>
      <c r="AT8" s="572"/>
      <c r="AU8" s="572"/>
      <c r="AV8" s="572"/>
      <c r="AW8" s="298"/>
      <c r="AX8" s="482"/>
      <c r="BU8" s="476"/>
    </row>
    <row r="9" spans="1:78" ht="25.5">
      <c r="A9" s="500" t="s">
        <v>593</v>
      </c>
      <c r="B9" s="500" t="s">
        <v>246</v>
      </c>
      <c r="C9" s="159" t="str">
        <f>Datos!A9</f>
        <v xml:space="preserve">Jdos. 1ª Instancia   </v>
      </c>
      <c r="D9" s="501"/>
      <c r="E9" s="1167">
        <f>IF(ISNUMBER(Datos!AQ9),Datos!AQ9," - ")</f>
        <v>0</v>
      </c>
      <c r="F9" s="224" t="str">
        <f>IF(ISNUMBER(AA9+Y9-I9-K9),AA9+Y9-I9-K9," - ")</f>
        <v xml:space="preserve"> - </v>
      </c>
      <c r="G9" s="224" t="str">
        <f>IF(ISNUMBER(IF(J_V="SI",Datos!I9,Datos!I9+Datos!Y9)-IF(Monitorios="SI",Datos!CA9,0)),
                          IF(J_V="SI",Datos!I9,Datos!I9+Datos!Y9)-IF(Monitorios="SI",Datos!CA9,0),
                          " - ")</f>
        <v xml:space="preserve"> - </v>
      </c>
      <c r="H9" s="228"/>
      <c r="I9" s="224" t="str">
        <f>IF(ISNUMBER(Datos!DB9),Datos!DB9," - ")</f>
        <v xml:space="preserve"> - </v>
      </c>
      <c r="J9" s="225" t="str">
        <f>IF(ISNUMBER(Datos!DC9),Datos!DC9," - ")</f>
        <v xml:space="preserve"> - </v>
      </c>
      <c r="K9" s="483">
        <f>IF(ISNUMBER(Datos!DF15),Datos!DF15,0)</f>
        <v>0</v>
      </c>
      <c r="L9" s="483"/>
      <c r="M9" s="224"/>
      <c r="N9" s="228">
        <f>IF(ISNUMBER(Datos!P9),Datos!P9,0)</f>
        <v>0</v>
      </c>
      <c r="O9" s="228" t="str">
        <f>IF(ISNUMBER(Datos!DE9),Datos!DE9," - ")</f>
        <v xml:space="preserve"> - </v>
      </c>
      <c r="P9" s="1119"/>
      <c r="Q9" s="1119"/>
      <c r="R9" s="483" t="str">
        <f>IF(ISNUMBER(Datos!AS9),Datos!AS9," - ")</f>
        <v xml:space="preserve"> - </v>
      </c>
      <c r="S9" s="480" t="str">
        <f>IF(ISNUMBER(R9/(Datos!BM9/factor_trimestre)),R9/(Datos!BM9/factor_trimestre)," - ")</f>
        <v xml:space="preserve"> - </v>
      </c>
      <c r="T9" s="225" t="str">
        <f>IF(ISNUMBER(Datos!EO9),Datos!EO9," - ")</f>
        <v xml:space="preserve"> - </v>
      </c>
      <c r="U9" s="990" t="e">
        <f>(T9/Datos!ER9)*factor_trimestre</f>
        <v>#VALUE!</v>
      </c>
      <c r="V9" s="483" t="str">
        <f>IF(ISNUMBER(Datos!CB9),Datos!CB9," - ")</f>
        <v xml:space="preserve"> - </v>
      </c>
      <c r="W9" s="224">
        <f>IF(ISNUMBER(Datos!BY9+Datos!BZ9*0.86),Datos!BY9+Datos!BZ9*0.86," - ")</f>
        <v>0</v>
      </c>
      <c r="X9" s="609">
        <f>IF(ISNUMBER((W9*factor_trimestre)/DatosB!CN9),(W9*factor_trimestre)/DatosB!CN9,"-")</f>
        <v>0</v>
      </c>
      <c r="Y9" s="618" t="str">
        <f>IF(ISNUMBER(IF(J_V="SI",Datos!K9,Datos!K9+Datos!AA9)-IF(Monitorios="SI",Datos!CC9,0)),
                          IF(J_V="SI",Datos!K9,Datos!K9+Datos!AA9)-IF(Monitorios="SI",Datos!CC9,0),
                          " - ")</f>
        <v xml:space="preserve"> - </v>
      </c>
      <c r="Z9" s="618" t="str">
        <f>IF(ISNUMBER(Datos!Q9),Datos!Q9," - ")</f>
        <v xml:space="preserve"> - </v>
      </c>
      <c r="AA9" s="331" t="str">
        <f>IF(ISNUMBER(IF(J_V="SI",Datos!L9,Datos!L9+Datos!AB9)-IF(Monitorios="SI",Datos!CD9,0)),
                          IF(J_V="SI",Datos!L9,Datos!L9+Datos!AB9)-IF(Monitorios="SI",Datos!CD9,0),
                          " - ")</f>
        <v xml:space="preserve"> - </v>
      </c>
      <c r="AB9" s="333"/>
      <c r="AC9" s="333"/>
      <c r="AD9" s="483"/>
      <c r="AE9" s="483" t="str">
        <f>IF(ISNUMBER(Datos!R9),Datos!R9," - ")</f>
        <v xml:space="preserve"> - </v>
      </c>
      <c r="AF9" s="228" t="str">
        <f>IF(ISNUMBER(Datos!BV9),Datos!BV9," - ")</f>
        <v xml:space="preserve"> - </v>
      </c>
      <c r="AG9" s="224" t="str">
        <f>IF(ISNUMBER(Datos!DV9),Datos!DV9," - ")</f>
        <v xml:space="preserve"> - </v>
      </c>
      <c r="AH9" s="297"/>
      <c r="AI9" s="226"/>
      <c r="AJ9" s="224" t="str">
        <f>IF(ISNUMBER(Datos!M9),Datos!M9," - ")</f>
        <v xml:space="preserve"> - </v>
      </c>
      <c r="AK9" s="228" t="str">
        <f>IF(ISNUMBER(Datos!N9),Datos!N9," - ")</f>
        <v xml:space="preserve"> - </v>
      </c>
      <c r="AL9" s="228" t="str">
        <f>IF(ISNUMBER(Datos!BW9),Datos!BW9," - ")</f>
        <v xml:space="preserve"> - </v>
      </c>
      <c r="AM9" s="227" t="str">
        <f>IF(ISNUMBER(Datos!BX9),Datos!BX9," - ")</f>
        <v xml:space="preserve"> - </v>
      </c>
      <c r="AN9" s="242"/>
      <c r="AO9" s="259" t="str">
        <f>IF(ISNUMBER(((NºAsuntos!I9/NºAsuntos!G9)*11)/factor_trimestre),((NºAsuntos!I9/NºAsuntos!G9)*11)/factor_trimestre," - ")</f>
        <v xml:space="preserve"> - </v>
      </c>
      <c r="AP9" s="229" t="str">
        <f>IF(ISNUMBER(Datos!CI9/Datos!CJ9),Datos!CI9/Datos!CJ9," - ")</f>
        <v xml:space="preserve"> - </v>
      </c>
      <c r="AQ9" s="229" t="str">
        <f>IF(ISNUMBER((J9-Y9+K9)/(F9)),(J9-Y9+K9)/(F9)," - ")</f>
        <v xml:space="preserve"> - </v>
      </c>
      <c r="AR9" s="229" t="str">
        <f>IF(ISNUMBER((Datos!P9-Datos!Q9+Datos!DE9)/(Datos!R9-Datos!P9+Datos!Q9-Datos!DE9)),(Datos!P9-Datos!Q9+Datos!DE9)/(Datos!R9-Datos!P9+Datos!Q9-Datos!DE9)," - ")</f>
        <v xml:space="preserve"> - </v>
      </c>
      <c r="AS9" s="359"/>
      <c r="AT9" s="359"/>
      <c r="AU9" s="265" t="str">
        <f>IF(ISNUMBER(Datos!EV9),Datos!EV9," - ")</f>
        <v xml:space="preserve"> - </v>
      </c>
      <c r="AV9" s="265" t="str">
        <f>IF(ISNUMBER(Datos!CW9),Datos!CW9," - ")</f>
        <v xml:space="preserve"> - </v>
      </c>
      <c r="AW9" s="265">
        <f>Datos!CX9</f>
        <v>0</v>
      </c>
      <c r="AX9" s="631">
        <f>Datos!DU9</f>
        <v>0</v>
      </c>
      <c r="AY9" s="470"/>
      <c r="BU9" s="1024">
        <f>Datos!ER9/factor_trimestre</f>
        <v>327.27272727272731</v>
      </c>
      <c r="BZ9" s="1185">
        <f>Datos!EZ9</f>
        <v>0</v>
      </c>
    </row>
    <row r="10" spans="1:78" ht="14.25">
      <c r="A10" s="500">
        <f>Datos!AO10</f>
        <v>1</v>
      </c>
      <c r="B10" s="506" t="s">
        <v>246</v>
      </c>
      <c r="C10" s="7" t="str">
        <f>Datos!A10</f>
        <v>Jdos. Violencia contra la mujer/Secc Viol. TI.</v>
      </c>
      <c r="D10" s="507"/>
      <c r="E10" s="1167">
        <f>IF(ISNUMBER(Datos!AQ10),Datos!AQ10," - ")</f>
        <v>0</v>
      </c>
      <c r="F10" s="224">
        <f>IF(ISNUMBER(Datos!L10+Datos!K10-Datos!J10),Datos!L10+Datos!K10-Datos!J10," - ")</f>
        <v>98</v>
      </c>
      <c r="G10" s="224">
        <f>IF(ISNUMBER(Datos!I10),Datos!I10," - ")</f>
        <v>98</v>
      </c>
      <c r="H10" s="228"/>
      <c r="I10" s="224" t="str">
        <f>IF(ISNUMBER(Datos!DB10),Datos!DB10," - ")</f>
        <v xml:space="preserve"> - </v>
      </c>
      <c r="J10" s="225" t="str">
        <f>IF(ISNUMBER(Datos!DC10),Datos!DC10," - ")</f>
        <v xml:space="preserve"> - </v>
      </c>
      <c r="K10" s="483">
        <f>IF(ISNUMBER(Datos!DF17),Datos!DF17,0)</f>
        <v>0</v>
      </c>
      <c r="L10" s="483"/>
      <c r="M10" s="483"/>
      <c r="N10" s="228">
        <f>IF(ISNUMBER(Datos!P10),Datos!P10,0)</f>
        <v>9</v>
      </c>
      <c r="O10" s="228" t="str">
        <f>IF(ISNUMBER(Datos!DE10),Datos!DE10," - ")</f>
        <v xml:space="preserve"> - </v>
      </c>
      <c r="P10" s="1119"/>
      <c r="Q10" s="1119"/>
      <c r="R10" s="483" t="str">
        <f>IF(ISNUMBER(Datos!AS10),Datos!AS10," - ")</f>
        <v xml:space="preserve"> - </v>
      </c>
      <c r="S10" s="480" t="str">
        <f>IF(ISNUMBER(R10/(Datos!BM10/factor_trimestre)),R10/(Datos!BM10/factor_trimestre)," - ")</f>
        <v xml:space="preserve"> - </v>
      </c>
      <c r="T10" s="225" t="str">
        <f>IF(ISNUMBER(Datos!EO10),Datos!EO10," - ")</f>
        <v xml:space="preserve"> - </v>
      </c>
      <c r="U10" s="990" t="e">
        <f>(T10/Datos!ER10)*factor_trimestre</f>
        <v>#VALUE!</v>
      </c>
      <c r="V10" s="483"/>
      <c r="W10" s="224" t="str">
        <f>IF(ISNUMBER(Datos!BY10),Datos!BY10," - ")</f>
        <v xml:space="preserve"> - </v>
      </c>
      <c r="X10" s="609" t="str">
        <f>IF(ISNUMBER((W10*factor_trimestre)/DatosB!CN10),(W10*factor_trimestre)/DatosB!CN10,"-")</f>
        <v>-</v>
      </c>
      <c r="Y10" s="618">
        <f>IF(ISNUMBER(Datos!K10),Datos!K10," - ")</f>
        <v>12</v>
      </c>
      <c r="Z10" s="618">
        <f>IF(ISNUMBER(Datos!Q10),Datos!Q10," - ")</f>
        <v>1</v>
      </c>
      <c r="AA10" s="331">
        <f>IF(ISNUMBER(Datos!L10),Datos!L10,"-")</f>
        <v>97</v>
      </c>
      <c r="AB10" s="333"/>
      <c r="AC10" s="333"/>
      <c r="AD10" s="483"/>
      <c r="AE10" s="483">
        <f>IF(ISNUMBER(Datos!R10),Datos!R10," - ")</f>
        <v>67</v>
      </c>
      <c r="AF10" s="228" t="str">
        <f>IF(ISNUMBER(Datos!BV10),Datos!BV10," - ")</f>
        <v xml:space="preserve"> - </v>
      </c>
      <c r="AG10" s="224" t="str">
        <f>IF(ISNUMBER(Datos!DV10),Datos!DV10," - ")</f>
        <v xml:space="preserve"> - </v>
      </c>
      <c r="AH10" s="297"/>
      <c r="AI10" s="226"/>
      <c r="AJ10" s="224">
        <f>IF(ISNUMBER(Datos!M10),Datos!M10," - ")</f>
        <v>8</v>
      </c>
      <c r="AK10" s="228">
        <f>IF(ISNUMBER(Datos!N10),Datos!N10," - ")</f>
        <v>4</v>
      </c>
      <c r="AL10" s="228" t="str">
        <f>IF(ISNUMBER(Datos!BW10),Datos!BW10," - ")</f>
        <v xml:space="preserve"> - </v>
      </c>
      <c r="AM10" s="227" t="str">
        <f>IF(ISNUMBER(Datos!BX10),Datos!BX10," - ")</f>
        <v xml:space="preserve"> - </v>
      </c>
      <c r="AN10" s="242"/>
      <c r="AO10" s="259">
        <f>IF(ISNUMBER(((NºAsuntos!I10/NºAsuntos!G10)*11)/factor_trimestre),((NºAsuntos!I10/NºAsuntos!G10)*11)/factor_trimestre," - ")</f>
        <v>24.250000000000004</v>
      </c>
      <c r="AP10" s="229" t="str">
        <f>IF(ISNUMBER(Datos!CI10/Datos!CJ10),Datos!CI10/Datos!CJ10," - ")</f>
        <v xml:space="preserve"> - </v>
      </c>
      <c r="AQ10" s="229" t="str">
        <f>IF(ISNUMBER((I10-Y10+K10)/(F10)),(I10-Y10+K10)/(F10)," - ")</f>
        <v xml:space="preserve"> - </v>
      </c>
      <c r="AR10" s="229">
        <f>IF(ISNUMBER((Datos!P10-Datos!Q10+Datos!DE10)/(Datos!R10-Datos!P10+Datos!Q10-Datos!DE10)),(Datos!P10-Datos!Q10+Datos!DE10)/(Datos!R10-Datos!P10+Datos!Q10-Datos!DE10)," - ")</f>
        <v>0.13559322033898305</v>
      </c>
      <c r="AS10" s="359"/>
      <c r="AT10" s="359"/>
      <c r="AU10" s="265" t="str">
        <f>IF(ISNUMBER(Datos!EV10),Datos!EV10," - ")</f>
        <v xml:space="preserve"> - </v>
      </c>
      <c r="AV10" s="265" t="str">
        <f>IF(ISNUMBER(Datos!CW10),Datos!CW10," - ")</f>
        <v xml:space="preserve"> - </v>
      </c>
      <c r="AW10" s="265">
        <f>Datos!CX10</f>
        <v>0</v>
      </c>
      <c r="AX10" s="631">
        <f>Datos!DU10</f>
        <v>0</v>
      </c>
      <c r="AY10" s="470"/>
      <c r="BU10" s="1024">
        <f>Datos!ER10/factor_trimestre</f>
        <v>436.36363636363637</v>
      </c>
      <c r="BZ10" s="1185">
        <f>Datos!EZ10</f>
        <v>0</v>
      </c>
    </row>
    <row r="11" spans="1:78" ht="14.25">
      <c r="A11" s="500">
        <f>Datos!AO11</f>
        <v>0</v>
      </c>
      <c r="B11" s="506" t="s">
        <v>246</v>
      </c>
      <c r="C11" s="7" t="str">
        <f>Datos!A11</f>
        <v xml:space="preserve">Jdos. Familia                                   </v>
      </c>
      <c r="D11" s="507"/>
      <c r="E11" s="1167">
        <f>IF(ISNUMBER(Datos!AQ11),Datos!AQ11," - ")</f>
        <v>0</v>
      </c>
      <c r="F11" s="224" t="str">
        <f>IF(ISNUMBER(AA11+Y11-I11-K11),AA11+Y11-I11-K11," - ")</f>
        <v xml:space="preserve"> - </v>
      </c>
      <c r="G11" s="224" t="str">
        <f>IF(ISNUMBER(IF(J_V="SI",Datos!I11,Datos!I11+Datos!Y11)-IF(Monitorios="SI",Datos!CA11,0)),
                          IF(J_V="SI",Datos!I11,Datos!I11+Datos!Y11)-IF(Monitorios="SI",Datos!CA11,0),
                          " - ")</f>
        <v xml:space="preserve"> - </v>
      </c>
      <c r="H11" s="228"/>
      <c r="I11" s="224" t="str">
        <f>IF(ISNUMBER(Datos!DC11),Datos!DC11," - ")</f>
        <v xml:space="preserve"> - </v>
      </c>
      <c r="J11" s="225" t="str">
        <f>IF(ISNUMBER(Datos!DB11),Datos!DB11," - ")</f>
        <v xml:space="preserve"> - </v>
      </c>
      <c r="K11" s="483">
        <f>IF(ISNUMBER(Datos!#REF!),Datos!#REF!,0)</f>
        <v>0</v>
      </c>
      <c r="L11" s="483"/>
      <c r="M11" s="483"/>
      <c r="N11" s="228">
        <f>IF(ISNUMBER(Datos!P11),Datos!P11,0)</f>
        <v>0</v>
      </c>
      <c r="O11" s="228" t="str">
        <f>IF(ISNUMBER(Datos!DE11),Datos!DE11," - ")</f>
        <v xml:space="preserve"> - </v>
      </c>
      <c r="P11" s="1119"/>
      <c r="Q11" s="1119"/>
      <c r="R11" s="483" t="str">
        <f>IF(ISNUMBER(Datos!AS11),Datos!AS11," - ")</f>
        <v xml:space="preserve"> - </v>
      </c>
      <c r="S11" s="480" t="str">
        <f>IF(ISNUMBER(R11/(Datos!BM11/factor_trimestre)),R11/(Datos!BM11/factor_trimestre)," - ")</f>
        <v xml:space="preserve"> - </v>
      </c>
      <c r="T11" s="225" t="str">
        <f>IF(ISNUMBER(Datos!EO11),Datos!EO11," - ")</f>
        <v xml:space="preserve"> - </v>
      </c>
      <c r="U11" s="990" t="e">
        <f>(T11/Datos!ER11)*factor_trimestre</f>
        <v>#VALUE!</v>
      </c>
      <c r="V11" s="483"/>
      <c r="W11" s="224">
        <f>IF(ISNUMBER(Datos!BY11+Datos!BZ11),Datos!BY11+Datos!BZ11," - ")</f>
        <v>0</v>
      </c>
      <c r="X11" s="609">
        <f>IF(ISNUMBER((W11*factor_trimestre)/DatosB!CN11),(W11*factor_trimestre)/DatosB!CN11,"-")</f>
        <v>0</v>
      </c>
      <c r="Y11" s="618" t="str">
        <f>IF(ISNUMBER(IF(J_V="SI",Datos!K11,Datos!K11+Datos!AA11)-IF(Monitorios="SI",Datos!CC11,0)),
                          IF(J_V="SI",Datos!K11,Datos!K11+Datos!AA11)-IF(Monitorios="SI",Datos!CC11,0),
                          " - ")</f>
        <v xml:space="preserve"> - </v>
      </c>
      <c r="Z11" s="618" t="str">
        <f>IF(ISNUMBER(Datos!Q11),Datos!Q11," - ")</f>
        <v xml:space="preserve"> - </v>
      </c>
      <c r="AA11" s="331" t="str">
        <f>IF(ISNUMBER(IF(J_V="SI",Datos!L11,Datos!L11+Datos!AB11)-IF(Monitorios="SI",Datos!CD11,0)),
                          IF(J_V="SI",Datos!L11,Datos!L11+Datos!AB11)-IF(Monitorios="SI",Datos!CD11,0),
                          " - ")</f>
        <v xml:space="preserve"> - </v>
      </c>
      <c r="AB11" s="333"/>
      <c r="AC11" s="333"/>
      <c r="AD11" s="483"/>
      <c r="AE11" s="483" t="str">
        <f>IF(ISNUMBER(Datos!R11),Datos!R11," - ")</f>
        <v xml:space="preserve"> - </v>
      </c>
      <c r="AF11" s="228" t="str">
        <f>IF(ISNUMBER(Datos!BV11),Datos!BV11," - ")</f>
        <v xml:space="preserve"> - </v>
      </c>
      <c r="AG11" s="224" t="str">
        <f>IF(ISNUMBER(Datos!DV11),Datos!DV11," - ")</f>
        <v xml:space="preserve"> - </v>
      </c>
      <c r="AH11" s="297"/>
      <c r="AI11" s="226"/>
      <c r="AJ11" s="224" t="str">
        <f>IF(ISNUMBER(Datos!M11),Datos!M11," - ")</f>
        <v xml:space="preserve"> - </v>
      </c>
      <c r="AK11" s="228" t="str">
        <f>IF(ISNUMBER(Datos!N11),Datos!N11," - ")</f>
        <v xml:space="preserve"> - </v>
      </c>
      <c r="AL11" s="228" t="str">
        <f>IF(ISNUMBER(Datos!BW11),Datos!BW11," - ")</f>
        <v xml:space="preserve"> - </v>
      </c>
      <c r="AM11" s="227" t="str">
        <f>IF(ISNUMBER(Datos!BX11),Datos!BX11," - ")</f>
        <v xml:space="preserve"> - </v>
      </c>
      <c r="AN11" s="242"/>
      <c r="AO11" s="259" t="str">
        <f>IF(ISNUMBER(((NºAsuntos!I11/NºAsuntos!G11)*11)/factor_trimestre),((NºAsuntos!I11/NºAsuntos!G11)*11)/factor_trimestre," - ")</f>
        <v xml:space="preserve"> - </v>
      </c>
      <c r="AP11" s="229" t="str">
        <f>IF(ISNUMBER(Datos!CI11/Datos!CJ11),Datos!CI11/Datos!CJ11," - ")</f>
        <v xml:space="preserve"> - </v>
      </c>
      <c r="AQ11" s="229" t="str">
        <f>IF(ISNUMBER((I11-Y11+K11)/(F11)),(I11-Y11+K11)/(F11)," - ")</f>
        <v xml:space="preserve"> - </v>
      </c>
      <c r="AR11" s="229" t="str">
        <f>IF(ISNUMBER((Datos!P11-Datos!Q11+Datos!DE11)/(Datos!R11-Datos!P11+Datos!Q11-Datos!DE11)),(Datos!P11-Datos!Q11+Datos!DE11)/(Datos!R11-Datos!P11+Datos!Q11-Datos!DE11)," - ")</f>
        <v xml:space="preserve"> - </v>
      </c>
      <c r="AS11" s="359"/>
      <c r="AT11" s="359"/>
      <c r="AU11" s="265" t="str">
        <f>IF(ISNUMBER(Datos!EV11),Datos!EV11," - ")</f>
        <v xml:space="preserve"> - </v>
      </c>
      <c r="AV11" s="265" t="str">
        <f>IF(ISNUMBER(Datos!CW11),Datos!CW11," - ")</f>
        <v xml:space="preserve"> - </v>
      </c>
      <c r="AW11" s="265">
        <f>Datos!CX11</f>
        <v>0</v>
      </c>
      <c r="AX11" s="631">
        <f>Datos!DU11</f>
        <v>0</v>
      </c>
      <c r="AY11" s="470"/>
      <c r="BU11" s="1024">
        <f>Datos!ER11/factor_trimestre</f>
        <v>360.81818181818181</v>
      </c>
      <c r="BZ11" s="1185">
        <f>Datos!EZ11</f>
        <v>0</v>
      </c>
    </row>
    <row r="12" spans="1:78" ht="15" thickBot="1">
      <c r="A12" s="500">
        <f>Datos!AO12</f>
        <v>6</v>
      </c>
      <c r="B12" s="506" t="s">
        <v>246</v>
      </c>
      <c r="C12" s="7" t="str">
        <f>Datos!A12</f>
        <v xml:space="preserve">Jdos. 1ª Instª. e Instr./Secc. Civil y de Inst. TI                      </v>
      </c>
      <c r="D12" s="507"/>
      <c r="E12" s="1167">
        <f>IF(ISNUMBER(Datos!AQ12),Datos!AQ12," - ")</f>
        <v>6</v>
      </c>
      <c r="F12" s="224" t="str">
        <f>IF(ISNUMBER(AA12+Y12-I12-K12),AA12+Y12-I12-K12," - ")</f>
        <v xml:space="preserve"> - </v>
      </c>
      <c r="G12" s="224" t="str">
        <f>IF(ISNUMBER(IF(J_V="SI",Datos!I12,Datos!I12+Datos!Y12)-IF(Monitorios="SI",Datos!CA12,0)),
                          IF(J_V="SI",Datos!I12,Datos!I12+Datos!Y12)-IF(Monitorios="SI",Datos!CA12,0),
                          " - ")</f>
        <v xml:space="preserve"> - </v>
      </c>
      <c r="H12" s="228"/>
      <c r="I12" s="224" t="str">
        <f>IF(ISNUMBER(Datos!DC12),Datos!DC12," - ")</f>
        <v xml:space="preserve"> - </v>
      </c>
      <c r="J12" s="225" t="str">
        <f>IF(ISNUMBER(Datos!DB12),Datos!DB12," - ")</f>
        <v xml:space="preserve"> - </v>
      </c>
      <c r="K12" s="483">
        <f>IF(ISNUMBER(Datos!#REF!),Datos!#REF!,0)</f>
        <v>0</v>
      </c>
      <c r="L12" s="483"/>
      <c r="M12" s="483"/>
      <c r="N12" s="228">
        <f>IF(ISNUMBER(Datos!P12),Datos!P12,0)</f>
        <v>639</v>
      </c>
      <c r="O12" s="228" t="str">
        <f>IF(ISNUMBER(Datos!DE12),Datos!DE12," - ")</f>
        <v xml:space="preserve"> - </v>
      </c>
      <c r="P12" s="1119"/>
      <c r="Q12" s="1119"/>
      <c r="R12" s="483" t="str">
        <f>IF(ISNUMBER(Datos!AS12*(2500/380)+DatosP!AS12),Datos!AS12*(2500/380)+DatosP!AS12," - ")</f>
        <v xml:space="preserve"> - </v>
      </c>
      <c r="S12" s="480" t="str">
        <f>IF(ISNUMBER(R12/(Datos!BM12/factor_trimestre)),R12/(Datos!BM12/factor_trimestre)," - ")</f>
        <v xml:space="preserve"> - </v>
      </c>
      <c r="T12" s="225" t="str">
        <f>IF(ISNUMBER(Datos!EO12),Datos!EO12," - ")</f>
        <v xml:space="preserve"> - </v>
      </c>
      <c r="U12" s="990" t="e">
        <f>(T12/Datos!ER12)*factor_trimestre</f>
        <v>#VALUE!</v>
      </c>
      <c r="V12" s="483" t="str">
        <f>IF(ISNUMBER(Datos!CB12),Datos!CB12," - ")</f>
        <v xml:space="preserve"> - </v>
      </c>
      <c r="W12" s="224" t="str">
        <f>IF(ISNUMBER(Datos!BY12),Datos!BY12," - ")</f>
        <v xml:space="preserve"> - </v>
      </c>
      <c r="X12" s="609" t="str">
        <f>IF(ISNUMBER((W12*factor_trimestre)/DatosB!CN12),(W12*factor_trimestre)/DatosB!CN12,"-")</f>
        <v>-</v>
      </c>
      <c r="Y12" s="618" t="str">
        <f>IF(ISNUMBER(IF(J_V="SI",Datos!K12,Datos!K12+Datos!AA12)-IF(Monitorios="SI",Datos!CC12,0)),
                          IF(J_V="SI",Datos!K12,Datos!K12+Datos!AA12)-IF(Monitorios="SI",Datos!CC12,0),
                          " - ")</f>
        <v xml:space="preserve"> - </v>
      </c>
      <c r="Z12" s="618">
        <f>IF(ISNUMBER(Datos!Q12),Datos!Q12," - ")</f>
        <v>232</v>
      </c>
      <c r="AA12" s="331" t="str">
        <f>IF(ISNUMBER(IF(J_V="SI",Datos!L12,Datos!L12+Datos!AB12)-IF(Monitorios="SI",Datos!CD12,0)),
                          IF(J_V="SI",Datos!L12,Datos!L12+Datos!AB12)-IF(Monitorios="SI",Datos!CD12,0),
                          " - ")</f>
        <v xml:space="preserve"> - </v>
      </c>
      <c r="AB12" s="333"/>
      <c r="AC12" s="333"/>
      <c r="AD12" s="483"/>
      <c r="AE12" s="483">
        <f>IF(ISNUMBER(Datos!R12),Datos!R12," - ")</f>
        <v>9056</v>
      </c>
      <c r="AF12" s="228" t="str">
        <f>IF(ISNUMBER(Datos!BV12),Datos!BV12," - ")</f>
        <v xml:space="preserve"> - </v>
      </c>
      <c r="AG12" s="224" t="str">
        <f>IF(ISNUMBER(Datos!DV12),Datos!DV12," - ")</f>
        <v xml:space="preserve"> - </v>
      </c>
      <c r="AH12" s="297"/>
      <c r="AI12" s="226"/>
      <c r="AJ12" s="224">
        <f>IF(ISNUMBER(Datos!M12),Datos!M12," - ")</f>
        <v>442</v>
      </c>
      <c r="AK12" s="228">
        <f>IF(ISNUMBER(Datos!N12),Datos!N12," - ")</f>
        <v>1295</v>
      </c>
      <c r="AL12" s="228" t="str">
        <f>IF(ISNUMBER(Datos!BW12),Datos!BW12," - ")</f>
        <v xml:space="preserve"> - </v>
      </c>
      <c r="AM12" s="227" t="str">
        <f>IF(ISNUMBER(Datos!BX12),Datos!BX12," - ")</f>
        <v xml:space="preserve"> - </v>
      </c>
      <c r="AN12" s="242"/>
      <c r="AO12" s="259">
        <f>IF(ISNUMBER(((NºAsuntos!I12/NºAsuntos!G12)*11)/factor_trimestre),((NºAsuntos!I12/NºAsuntos!G12)*11)/factor_trimestre," - ")</f>
        <v>7.1005847953216374</v>
      </c>
      <c r="AP12" s="229" t="str">
        <f>IF(ISNUMBER(Datos!CI12/Datos!CJ12),Datos!CI12/Datos!CJ12," - ")</f>
        <v xml:space="preserve"> - </v>
      </c>
      <c r="AQ12" s="229" t="str">
        <f>IF(ISNUMBER((I12-Y12+K12)/(F12)),(I12-Y12+K12)/(F12)," - ")</f>
        <v xml:space="preserve"> - </v>
      </c>
      <c r="AR12" s="229">
        <f>IF(ISNUMBER((Datos!P12-Datos!Q12+Datos!DE12)/(Datos!R12-Datos!P12+Datos!Q12-Datos!DE12)),(Datos!P12-Datos!Q12+Datos!DE12)/(Datos!R12-Datos!P12+Datos!Q12-Datos!DE12)," - ")</f>
        <v>4.7057463290553818E-2</v>
      </c>
      <c r="AS12" s="359"/>
      <c r="AT12" s="359"/>
      <c r="AU12" s="265" t="str">
        <f>IF(ISNUMBER(Datos!EV12),Datos!EV12," - ")</f>
        <v xml:space="preserve"> - </v>
      </c>
      <c r="AV12" s="265" t="str">
        <f>IF(ISNUMBER(Datos!CW12),Datos!CW12," - ")</f>
        <v xml:space="preserve"> - </v>
      </c>
      <c r="AW12" s="265">
        <f>Datos!CX12</f>
        <v>0</v>
      </c>
      <c r="AX12" s="631">
        <f>Datos!DU12</f>
        <v>0</v>
      </c>
      <c r="AY12" s="470"/>
      <c r="BU12" s="1024">
        <f>Datos!ER12/factor_trimestre</f>
        <v>185.45454545454547</v>
      </c>
      <c r="BZ12" s="1185">
        <f>Datos!EZ12</f>
        <v>0</v>
      </c>
    </row>
    <row r="13" spans="1:78" ht="15.75" thickTop="1" thickBot="1">
      <c r="A13" s="177"/>
      <c r="B13" s="177"/>
      <c r="C13" s="862" t="str">
        <f>Datos!A13</f>
        <v>TOTAL</v>
      </c>
      <c r="D13" s="862"/>
      <c r="E13" s="897">
        <f>SUBTOTAL(9,E8:E12)</f>
        <v>6</v>
      </c>
      <c r="F13" s="897">
        <f>SUBTOTAL(9,F8:F12)</f>
        <v>98</v>
      </c>
      <c r="G13" s="897">
        <f>SUBTOTAL(9,G8:G12)</f>
        <v>98</v>
      </c>
      <c r="H13" s="907"/>
      <c r="I13" s="897">
        <f t="shared" ref="I13:N13" si="0">SUBTOTAL(9,I8:I12)</f>
        <v>0</v>
      </c>
      <c r="J13" s="866">
        <f t="shared" si="0"/>
        <v>0</v>
      </c>
      <c r="K13" s="907">
        <f t="shared" si="0"/>
        <v>0</v>
      </c>
      <c r="L13" s="907">
        <f t="shared" si="0"/>
        <v>0</v>
      </c>
      <c r="M13" s="907">
        <f t="shared" si="0"/>
        <v>0</v>
      </c>
      <c r="N13" s="907">
        <f t="shared" si="0"/>
        <v>648</v>
      </c>
      <c r="O13" s="907"/>
      <c r="P13" s="1120"/>
      <c r="Q13" s="1120"/>
      <c r="R13" s="907">
        <f t="shared" ref="R13:W13" si="1">SUBTOTAL(9,R8:R12)</f>
        <v>0</v>
      </c>
      <c r="S13" s="1120">
        <f t="shared" si="1"/>
        <v>0</v>
      </c>
      <c r="T13" s="866">
        <f t="shared" si="1"/>
        <v>0</v>
      </c>
      <c r="U13" s="868" t="e">
        <f t="shared" si="1"/>
        <v>#VALUE!</v>
      </c>
      <c r="V13" s="906">
        <f t="shared" si="1"/>
        <v>0</v>
      </c>
      <c r="W13" s="907">
        <f t="shared" si="1"/>
        <v>0</v>
      </c>
      <c r="X13" s="928">
        <f>IF(ISNUMBER((W13*factor_trimestre)/Datos!CN13),(W13*factor_trimestre)/Datos!CN13,"-")</f>
        <v>0</v>
      </c>
      <c r="Y13" s="906">
        <f t="shared" ref="Y13:AN13" si="2">SUBTOTAL(9,Y8:Y12)</f>
        <v>12</v>
      </c>
      <c r="Z13" s="906">
        <f t="shared" si="2"/>
        <v>233</v>
      </c>
      <c r="AA13" s="899">
        <f t="shared" si="2"/>
        <v>97</v>
      </c>
      <c r="AB13" s="899">
        <f t="shared" si="2"/>
        <v>0</v>
      </c>
      <c r="AC13" s="899">
        <f t="shared" si="2"/>
        <v>0</v>
      </c>
      <c r="AD13" s="899">
        <f t="shared" si="2"/>
        <v>0</v>
      </c>
      <c r="AE13" s="899">
        <f t="shared" si="2"/>
        <v>9123</v>
      </c>
      <c r="AF13" s="907">
        <f t="shared" si="2"/>
        <v>0</v>
      </c>
      <c r="AG13" s="907">
        <f t="shared" si="2"/>
        <v>0</v>
      </c>
      <c r="AH13" s="907">
        <f t="shared" si="2"/>
        <v>0</v>
      </c>
      <c r="AI13" s="907">
        <f t="shared" si="2"/>
        <v>0</v>
      </c>
      <c r="AJ13" s="907">
        <f t="shared" si="2"/>
        <v>450</v>
      </c>
      <c r="AK13" s="907">
        <f t="shared" si="2"/>
        <v>1299</v>
      </c>
      <c r="AL13" s="907">
        <f t="shared" si="2"/>
        <v>0</v>
      </c>
      <c r="AM13" s="907">
        <f t="shared" si="2"/>
        <v>0</v>
      </c>
      <c r="AN13" s="907">
        <f t="shared" si="2"/>
        <v>0</v>
      </c>
      <c r="AO13" s="903">
        <f>IF(ISNUMBER(((NºAsuntos!I13/NºAsuntos!G13)*11)/factor_trimestre),((NºAsuntos!I13/NºAsuntos!G13)*11)/factor_trimestre," - ")</f>
        <v>7.1804423748544828</v>
      </c>
      <c r="AP13" s="909" t="str">
        <f>IF(ISNUMBER(Datos!CI13/Datos!CJ13),Datos!CI13/Datos!CJ13," - ")</f>
        <v xml:space="preserve"> - </v>
      </c>
      <c r="AQ13" s="927">
        <f t="shared" ref="AQ13:AV13" si="3">SUBTOTAL(9,AQ9:AQ12)</f>
        <v>0</v>
      </c>
      <c r="AR13" s="927">
        <f t="shared" si="3"/>
        <v>0.18265068362953688</v>
      </c>
      <c r="AS13" s="907">
        <f t="shared" si="3"/>
        <v>0</v>
      </c>
      <c r="AT13" s="907">
        <f t="shared" si="3"/>
        <v>0</v>
      </c>
      <c r="AU13" s="907">
        <f t="shared" si="3"/>
        <v>0</v>
      </c>
      <c r="AV13" s="907">
        <f t="shared" si="3"/>
        <v>0</v>
      </c>
      <c r="AW13" s="929"/>
      <c r="AX13" s="930"/>
      <c r="BU13" s="898"/>
      <c r="BZ13" s="1185"/>
    </row>
    <row r="14" spans="1:78" ht="15" thickTop="1">
      <c r="A14" s="509"/>
      <c r="B14" s="509"/>
      <c r="C14" s="285" t="str">
        <f>Datos!A14</f>
        <v xml:space="preserve">Jurisdicción Penal ( 2 ):                      </v>
      </c>
      <c r="D14" s="510"/>
      <c r="E14" s="578"/>
      <c r="F14" s="233"/>
      <c r="G14" s="634"/>
      <c r="H14" s="228"/>
      <c r="I14" s="497"/>
      <c r="J14" s="216"/>
      <c r="K14" s="483"/>
      <c r="L14" s="483"/>
      <c r="M14" s="483"/>
      <c r="N14" s="228"/>
      <c r="O14" s="228"/>
      <c r="P14" s="1119"/>
      <c r="Q14" s="1119"/>
      <c r="R14" s="360"/>
      <c r="S14" s="1114"/>
      <c r="T14" s="299"/>
      <c r="U14" s="991"/>
      <c r="V14" s="608"/>
      <c r="W14" s="224"/>
      <c r="X14" s="477"/>
      <c r="Y14" s="615"/>
      <c r="Z14" s="617"/>
      <c r="AA14" s="497"/>
      <c r="AB14" s="333"/>
      <c r="AC14" s="333"/>
      <c r="AD14" s="483"/>
      <c r="AE14" s="483"/>
      <c r="AF14" s="513"/>
      <c r="AG14" s="224"/>
      <c r="AH14" s="297"/>
      <c r="AI14" s="226"/>
      <c r="AJ14" s="224"/>
      <c r="AK14" s="228"/>
      <c r="AL14" s="228"/>
      <c r="AM14" s="227"/>
      <c r="AN14" s="242"/>
      <c r="AO14" s="259"/>
      <c r="AP14" s="229"/>
      <c r="AQ14" s="229"/>
      <c r="AR14" s="229"/>
      <c r="AS14" s="573"/>
      <c r="AT14" s="573"/>
      <c r="AU14" s="359"/>
      <c r="AV14" s="359"/>
      <c r="AW14" s="265"/>
      <c r="AX14" s="536"/>
      <c r="BU14" s="479"/>
      <c r="BZ14" s="1185">
        <f>Datos!EZ14</f>
        <v>0</v>
      </c>
    </row>
    <row r="15" spans="1:78" ht="14.25">
      <c r="A15" s="500">
        <f>Datos!AO15</f>
        <v>0</v>
      </c>
      <c r="B15" s="506" t="s">
        <v>396</v>
      </c>
      <c r="C15" s="159" t="str">
        <f>Datos!A15</f>
        <v xml:space="preserve">Jdos. Instrucción                               </v>
      </c>
      <c r="D15" s="501"/>
      <c r="E15" s="1167">
        <f>IF(ISNUMBER(Datos!AQ15),Datos!AQ15," - ")</f>
        <v>0</v>
      </c>
      <c r="F15" s="332" t="str">
        <f>IF(ISNUMBER(AA15+Y15-Datos!J15-K15),AA15+Y15-Datos!J15-K15," - ")</f>
        <v xml:space="preserve"> - </v>
      </c>
      <c r="G15" s="224" t="str">
        <f>IF(ISNUMBER(IF(D_I="SI",Datos!I15,Datos!I15+Datos!AC15)),IF(D_I="SI",Datos!I15,Datos!I15+Datos!AC15)," - ")</f>
        <v xml:space="preserve"> - </v>
      </c>
      <c r="H15" s="228"/>
      <c r="I15" s="228" t="str">
        <f>IF(ISNUMBER(Datos!DC15),Datos!DC15," - ")</f>
        <v xml:space="preserve"> - </v>
      </c>
      <c r="J15" s="225" t="str">
        <f>IF(ISNUMBER(Datos!DC15),Datos!DC15," - ")</f>
        <v xml:space="preserve"> - </v>
      </c>
      <c r="K15" s="483">
        <f>IF(ISNUMBER(Datos!DF15),Datos!DF15,0)</f>
        <v>0</v>
      </c>
      <c r="L15" s="483" t="str">
        <f>IF(ISNUMBER(Datos!EB15),Datos!EB15," - ")</f>
        <v xml:space="preserve"> - </v>
      </c>
      <c r="M15" s="483" t="str">
        <f>IF(ISNUMBER(Datos!EC15),Datos!EC15," - ")</f>
        <v xml:space="preserve"> - </v>
      </c>
      <c r="N15" s="228">
        <f>IF(ISNUMBER(Datos!P15),Datos!P15,0)</f>
        <v>0</v>
      </c>
      <c r="O15" s="228" t="str">
        <f>IF(ISNUMBER(Datos!DE15),Datos!DE15," - ")</f>
        <v xml:space="preserve"> - </v>
      </c>
      <c r="P15" s="1119" t="str">
        <f>IF(ISNUMBER(Datos!EB15*factor_trimestre/Datos!EE15),Datos!EB15*factor_trimestre/Datos!EE15," - ")</f>
        <v xml:space="preserve"> - </v>
      </c>
      <c r="Q15" s="1119" t="str">
        <f>IF(ISNUMBER(Datos!EC15*factor_trimestre/Datos!EF15),Datos!EC15*factor_trimestre/Datos!EF15," - ")</f>
        <v xml:space="preserve"> - </v>
      </c>
      <c r="R15" s="483">
        <f>IF(ISNUMBER((Datos!AS15+Datos!AT15)),(Datos!AS15+Datos!AT15),0)</f>
        <v>0</v>
      </c>
      <c r="S15" s="480">
        <f>IF(ISNUMBER(R15/(Datos!BM15/factor_trimestre)),R15/(Datos!BM15/factor_trimestre)," - ")</f>
        <v>0</v>
      </c>
      <c r="T15" s="225" t="str">
        <f>IF(ISNUMBER(Datos!EO15),Datos!EO15," - ")</f>
        <v xml:space="preserve"> - </v>
      </c>
      <c r="U15" s="990" t="e">
        <f>(T15/Datos!ER15)*factor_trimestre</f>
        <v>#VALUE!</v>
      </c>
      <c r="V15" s="483"/>
      <c r="W15" s="224">
        <f>IF(ISNUMBER(Datos!BY15+Datos!BZ15*1.16),Datos!BY15+Datos!BZ15*1.16," - ")</f>
        <v>0</v>
      </c>
      <c r="X15" s="609">
        <f>IF(ISNUMBER((W15*factor_trimestre)/DatosB!CN15),(W15*factor_trimestre)/DatosB!CN15,"-")</f>
        <v>0</v>
      </c>
      <c r="Y15" s="618" t="str">
        <f>IF(ISNUMBER(IF(D_I="SI",Datos!K15,Datos!K15+Datos!AE15)),IF(D_I="SI",Datos!K15,Datos!K15+Datos!AE15)," - ")</f>
        <v xml:space="preserve"> - </v>
      </c>
      <c r="Z15" s="618" t="str">
        <f>IF(ISNUMBER(Datos!Q15),Datos!Q15," - ")</f>
        <v xml:space="preserve"> - </v>
      </c>
      <c r="AA15" s="331" t="str">
        <f>IF(ISNUMBER(IF(D_I="SI",Datos!L15,Datos!L15+Datos!AF15)),IF(D_I="SI",Datos!L15,Datos!L15+Datos!AF15)," - ")</f>
        <v xml:space="preserve"> - </v>
      </c>
      <c r="AB15" s="333"/>
      <c r="AC15" s="333"/>
      <c r="AD15" s="483"/>
      <c r="AE15" s="483" t="str">
        <f>IF(ISNUMBER(Datos!R15),Datos!R15," - ")</f>
        <v xml:space="preserve"> - </v>
      </c>
      <c r="AF15" s="228" t="str">
        <f>IF(ISNUMBER(Datos!BV15),Datos!BV15," - ")</f>
        <v xml:space="preserve"> - </v>
      </c>
      <c r="AG15" s="224"/>
      <c r="AH15" s="297"/>
      <c r="AI15" s="226"/>
      <c r="AJ15" s="224" t="str">
        <f>IF(ISNUMBER(Datos!M15),Datos!M15," - ")</f>
        <v xml:space="preserve"> - </v>
      </c>
      <c r="AK15" s="228" t="str">
        <f>IF(ISNUMBER(Datos!N15),Datos!N15," - ")</f>
        <v xml:space="preserve"> - </v>
      </c>
      <c r="AL15" s="228" t="str">
        <f>IF(ISNUMBER(Datos!BW15),Datos!BW15," - ")</f>
        <v xml:space="preserve"> - </v>
      </c>
      <c r="AM15" s="227" t="str">
        <f>IF(ISNUMBER(Datos!BX15),Datos!BX15," - ")</f>
        <v xml:space="preserve"> - </v>
      </c>
      <c r="AN15" s="242"/>
      <c r="AO15" s="259" t="str">
        <f>IF(ISNUMBER(((NºAsuntos!I15/NºAsuntos!G15)*11)/factor_trimestre),((NºAsuntos!I15/NºAsuntos!G15)*11)/factor_trimestre," - ")</f>
        <v xml:space="preserve"> - </v>
      </c>
      <c r="AP15" s="229" t="str">
        <f>IF(ISNUMBER(Datos!CI15/Datos!CJ15),Datos!CI15/Datos!CJ15," - ")</f>
        <v xml:space="preserve"> - </v>
      </c>
      <c r="AQ15" s="229" t="str">
        <f>IF(ISNUMBER((J15-Y15+K15)/(F15)),(J15-Y15+K15)/(F15)," - ")</f>
        <v xml:space="preserve"> - </v>
      </c>
      <c r="AR15" s="229" t="str">
        <f>IF(ISNUMBER((Datos!P15-Datos!Q15+O15)/(Datos!R15-Datos!P15+Datos!Q15-O15)),(Datos!P15-Datos!Q15+O15)/(Datos!R15-Datos!P15+Datos!Q15-O15)," - ")</f>
        <v xml:space="preserve"> - </v>
      </c>
      <c r="AS15" s="265" t="str">
        <f>IF(ISNUMBER(Datos!CS15),Datos!CS15," - ")</f>
        <v xml:space="preserve"> - </v>
      </c>
      <c r="AT15" s="265" t="str">
        <f>IF(ISNUMBER(Datos!EI15),Datos!EI15," - ")</f>
        <v xml:space="preserve"> - </v>
      </c>
      <c r="AU15" s="265" t="str">
        <f>IF(ISNUMBER(Datos!EV15),Datos!EV15," - ")</f>
        <v xml:space="preserve"> - </v>
      </c>
      <c r="AV15" s="265" t="str">
        <f>IF(ISNUMBER(Datos!CW15),Datos!CW15," - ")</f>
        <v xml:space="preserve"> - </v>
      </c>
      <c r="AW15" s="265">
        <f>Datos!CX15</f>
        <v>0</v>
      </c>
      <c r="AX15" s="484">
        <f>Datos!DU15</f>
        <v>0</v>
      </c>
      <c r="AY15" s="470"/>
      <c r="BU15" s="1024">
        <f>Datos!ER15/factor_trimestre</f>
        <v>900</v>
      </c>
      <c r="BZ15" s="1185">
        <f>Datos!EZ15</f>
        <v>0</v>
      </c>
    </row>
    <row r="16" spans="1:78" ht="14.25">
      <c r="A16" s="500">
        <f>Datos!AO16</f>
        <v>6</v>
      </c>
      <c r="B16" s="506" t="s">
        <v>396</v>
      </c>
      <c r="C16" s="159" t="str">
        <f>Datos!A16</f>
        <v xml:space="preserve">Jdos. 1ª Instª. e Instr./Secc. Civil y de Inst. TI                      </v>
      </c>
      <c r="D16" s="501"/>
      <c r="E16" s="1167">
        <f>IF(ISNUMBER(Datos!AQ16),Datos!AQ16," - ")</f>
        <v>6</v>
      </c>
      <c r="F16" s="332">
        <f>IF(ISNUMBER(AA16+Y16-Datos!J16-K15),AA16+Y16-Datos!J16-K15," - ")</f>
        <v>3108</v>
      </c>
      <c r="G16" s="224">
        <f>IF(ISNUMBER(IF(D_I="SI",Datos!I16,Datos!I16+Datos!AC16)),IF(D_I="SI",Datos!I16,Datos!I16+Datos!AC16)," - ")</f>
        <v>3362</v>
      </c>
      <c r="H16" s="228"/>
      <c r="I16" s="228" t="str">
        <f>IF(ISNUMBER(Datos!DC16),Datos!DC16," - ")</f>
        <v xml:space="preserve"> - </v>
      </c>
      <c r="J16" s="225" t="str">
        <f>IF(ISNUMBER(Datos!DC16),Datos!DC16," - ")</f>
        <v xml:space="preserve"> - </v>
      </c>
      <c r="K16" s="483">
        <f>IF(ISNUMBER(Datos!DF16),Datos!DF16,0)</f>
        <v>0</v>
      </c>
      <c r="L16" s="483"/>
      <c r="M16" s="483"/>
      <c r="N16" s="228">
        <f>IF(ISNUMBER(Datos!P16),Datos!P16,0)</f>
        <v>38</v>
      </c>
      <c r="O16" s="228" t="str">
        <f>IF(ISNUMBER(Datos!DE16),Datos!DE16," - ")</f>
        <v xml:space="preserve"> - </v>
      </c>
      <c r="P16" s="1119"/>
      <c r="Q16" s="1119"/>
      <c r="R16" s="483" t="str">
        <f>IF(ISNUMBER(Datos!AS16*(2500/380)+DatosP!AS16),Datos!AS16*(2500/380)+DatosP!AS16," - ")</f>
        <v xml:space="preserve"> - </v>
      </c>
      <c r="S16" s="480" t="str">
        <f>IF(ISNUMBER(R16/(Datos!BM16/factor_trimestre)),R16/(Datos!BM16/factor_trimestre)," - ")</f>
        <v xml:space="preserve"> - </v>
      </c>
      <c r="T16" s="225" t="str">
        <f>IF(ISNUMBER(Datos!EO16),Datos!EO16," - ")</f>
        <v xml:space="preserve"> - </v>
      </c>
      <c r="U16" s="990" t="e">
        <f>(T16/Datos!ER16)*factor_trimestre</f>
        <v>#VALUE!</v>
      </c>
      <c r="V16" s="483"/>
      <c r="W16" s="224" t="str">
        <f>IF(ISNUMBER(Datos!BY16),Datos!BY16," - ")</f>
        <v xml:space="preserve"> - </v>
      </c>
      <c r="X16" s="609" t="str">
        <f>IF(ISNUMBER((W16*factor_trimestre)/DatosB!CN16),(W16*factor_trimestre)/DatosB!CN16,"-")</f>
        <v>-</v>
      </c>
      <c r="Y16" s="618">
        <f>IF(ISNUMBER(IF(D_I="SI",Datos!K16,Datos!K16+Datos!AE16)),IF(D_I="SI",Datos!K16,Datos!K16+Datos!AE16)," - ")</f>
        <v>1556</v>
      </c>
      <c r="Z16" s="618">
        <f>IF(ISNUMBER(Datos!Q16),Datos!Q16," - ")</f>
        <v>34</v>
      </c>
      <c r="AA16" s="331">
        <f>IF(ISNUMBER(IF(D_I="SI",Datos!L16,Datos!L16+Datos!AF16)),IF(D_I="SI",Datos!L16,Datos!L16+Datos!AF16)," - ")</f>
        <v>3347</v>
      </c>
      <c r="AB16" s="333"/>
      <c r="AC16" s="333"/>
      <c r="AD16" s="483"/>
      <c r="AE16" s="483">
        <f>IF(ISNUMBER(Datos!R16),Datos!R16," - ")</f>
        <v>339</v>
      </c>
      <c r="AF16" s="228" t="str">
        <f>IF(ISNUMBER(Datos!BV16),Datos!BV16," - ")</f>
        <v xml:space="preserve"> - </v>
      </c>
      <c r="AG16" s="224"/>
      <c r="AH16" s="297"/>
      <c r="AI16" s="226"/>
      <c r="AJ16" s="224">
        <f>IF(ISNUMBER(Datos!M16),Datos!M16," - ")</f>
        <v>259</v>
      </c>
      <c r="AK16" s="228">
        <f>IF(ISNUMBER(Datos!N16),Datos!N16," - ")</f>
        <v>803</v>
      </c>
      <c r="AL16" s="228" t="str">
        <f>IF(ISNUMBER(Datos!BW16),Datos!BW16," - ")</f>
        <v xml:space="preserve"> - </v>
      </c>
      <c r="AM16" s="227" t="str">
        <f>IF(ISNUMBER(Datos!BX16),Datos!BX16," - ")</f>
        <v xml:space="preserve"> - </v>
      </c>
      <c r="AN16" s="242"/>
      <c r="AO16" s="259">
        <f>IF(ISNUMBER(((NºAsuntos!I16/NºAsuntos!G16)*11)/factor_trimestre),((NºAsuntos!I16/NºAsuntos!G16)*11)/factor_trimestre," - ")</f>
        <v>6.4530848329048851</v>
      </c>
      <c r="AP16" s="229" t="str">
        <f>IF(ISNUMBER(Datos!CI16/Datos!CJ16),Datos!CI16/Datos!CJ16," - ")</f>
        <v xml:space="preserve"> - </v>
      </c>
      <c r="AQ16" s="229" t="str">
        <f>IF(ISNUMBER((J16-Y16+K16)/(F16)),(J16-Y16+K16)/(F16)," - ")</f>
        <v xml:space="preserve"> - </v>
      </c>
      <c r="AR16" s="229" t="str">
        <f>IF(ISNUMBER((Datos!P16-Datos!Q16+O16)/(Datos!R16-Datos!P16+Datos!Q16-O16)),(Datos!P16-Datos!Q16+O16)/(Datos!R16-Datos!P16+Datos!Q16-O16)," - ")</f>
        <v xml:space="preserve"> - </v>
      </c>
      <c r="AS16" s="265" t="str">
        <f>IF(ISNUMBER(Datos!CS16),Datos!CS16," - ")</f>
        <v xml:space="preserve"> - </v>
      </c>
      <c r="AT16" s="265" t="str">
        <f>IF(ISNUMBER(Datos!EI16),Datos!EI16," - ")</f>
        <v xml:space="preserve"> - </v>
      </c>
      <c r="AU16" s="265" t="str">
        <f>IF(ISNUMBER(Datos!EV16),Datos!EV16," - ")</f>
        <v xml:space="preserve"> - </v>
      </c>
      <c r="AV16" s="265" t="str">
        <f>IF(ISNUMBER(Datos!CW16),Datos!CW16," - ")</f>
        <v xml:space="preserve"> - </v>
      </c>
      <c r="AW16" s="265">
        <f>Datos!CX16</f>
        <v>0</v>
      </c>
      <c r="AX16" s="484">
        <f>Datos!DU16</f>
        <v>0</v>
      </c>
      <c r="AY16" s="470"/>
      <c r="BU16" s="1024">
        <f>Datos!ER16/factor_trimestre</f>
        <v>272.72727272727275</v>
      </c>
      <c r="BZ16" s="1185">
        <f>Datos!EZ16</f>
        <v>0</v>
      </c>
    </row>
    <row r="17" spans="1:78" ht="15" thickBot="1">
      <c r="A17" s="500">
        <f>Datos!AO17</f>
        <v>1</v>
      </c>
      <c r="B17" s="506" t="s">
        <v>396</v>
      </c>
      <c r="C17" s="7" t="str">
        <f>Datos!A17</f>
        <v>Jdos. Violencia contra la mujer/Secc Viol. TI.</v>
      </c>
      <c r="D17" s="507"/>
      <c r="E17" s="1167">
        <f>IF(ISNUMBER(Datos!AQ17),Datos!AQ17," - ")</f>
        <v>0</v>
      </c>
      <c r="F17" s="224" t="str">
        <f>IF(ISNUMBER(AA17+Y17-I17-K17),AA17+Y17-I17-K17," - ")</f>
        <v xml:space="preserve"> - </v>
      </c>
      <c r="G17" s="522">
        <f>IF(ISNUMBER(IF(D_I="SI",Datos!I17,Datos!I17+Datos!AC17)),IF(D_I="SI",Datos!I17,Datos!I17+Datos!AC17)," - ")</f>
        <v>75</v>
      </c>
      <c r="H17" s="228"/>
      <c r="I17" s="224" t="str">
        <f>IF(ISNUMBER(Datos!DB17),Datos!DB17," - ")</f>
        <v xml:space="preserve"> - </v>
      </c>
      <c r="J17" s="225" t="str">
        <f>IF(ISNUMBER(Datos!DC17),Datos!DC17," - ")</f>
        <v xml:space="preserve"> - </v>
      </c>
      <c r="K17" s="483">
        <f>IF(ISNUMBER(Datos!DF17),Datos!DF17,0)</f>
        <v>0</v>
      </c>
      <c r="L17" s="483" t="str">
        <f>IF(ISNUMBER(Datos!EB17),Datos!EB17," - ")</f>
        <v xml:space="preserve"> - </v>
      </c>
      <c r="M17" s="483" t="str">
        <f>IF(ISNUMBER(Datos!EC17),Datos!EC17," - ")</f>
        <v xml:space="preserve"> - </v>
      </c>
      <c r="N17" s="228">
        <f>IF(ISNUMBER(Datos!P17),Datos!P17,0)</f>
        <v>0</v>
      </c>
      <c r="O17" s="228" t="str">
        <f>IF(ISNUMBER(Datos!DE17),Datos!DE17," - ")</f>
        <v xml:space="preserve"> - </v>
      </c>
      <c r="P17" s="1119" t="str">
        <f>IF(ISNUMBER(Datos!EB17*factor_trimestre/Datos!EE17),Datos!EB17*factor_trimestre/Datos!EE17," - ")</f>
        <v xml:space="preserve"> - </v>
      </c>
      <c r="Q17" s="1119" t="str">
        <f>IF(ISNUMBER(Datos!EC17*factor_trimestre/Datos!EF17),Datos!EC17*factor_trimestre/Datos!EF17," - ")</f>
        <v xml:space="preserve"> - </v>
      </c>
      <c r="R17" s="483" t="str">
        <f>IF(ISNUMBER((Datos!AS17+Datos!AT17)),(Datos!AS17+Datos!AT17)," - ")</f>
        <v xml:space="preserve"> - </v>
      </c>
      <c r="S17" s="480" t="str">
        <f>IF(ISNUMBER(R17/(Datos!BM17/factor_trimestre)),R17/(Datos!BM17/factor_trimestre)," - ")</f>
        <v xml:space="preserve"> - </v>
      </c>
      <c r="T17" s="225" t="str">
        <f>IF(ISNUMBER(Datos!EO17),Datos!EO17," - ")</f>
        <v xml:space="preserve"> - </v>
      </c>
      <c r="U17" s="990" t="e">
        <f>(T17/Datos!ER17)*factor_trimestre</f>
        <v>#VALUE!</v>
      </c>
      <c r="V17" s="483"/>
      <c r="W17" s="224" t="str">
        <f>IF(ISNUMBER(Datos!BY17+Datos!BZ17),Datos!BY17+Datos!BZ17," - ")</f>
        <v xml:space="preserve"> - </v>
      </c>
      <c r="X17" s="609" t="str">
        <f>IF(ISNUMBER((W17*factor_trimestre)/DatosB!CN17),(W17*factor_trimestre)/DatosB!CN17,"-")</f>
        <v>-</v>
      </c>
      <c r="Y17" s="618">
        <f>IF(ISNUMBER(IF(D_I="SI",Datos!K17,Datos!K17+Datos!AE17)),IF(D_I="SI",Datos!K17,Datos!K17+Datos!AE17)," - ")</f>
        <v>132</v>
      </c>
      <c r="Z17" s="618">
        <f>IF(ISNUMBER(Datos!Q17),Datos!Q17," - ")</f>
        <v>1</v>
      </c>
      <c r="AA17" s="331">
        <f>IF(ISNUMBER(Datos!L17),Datos!L17,"-")</f>
        <v>49</v>
      </c>
      <c r="AB17" s="333"/>
      <c r="AC17" s="333"/>
      <c r="AD17" s="483"/>
      <c r="AE17" s="483">
        <f>IF(ISNUMBER(Datos!R17),Datos!R17," - ")</f>
        <v>6</v>
      </c>
      <c r="AF17" s="228" t="str">
        <f>IF(ISNUMBER(Datos!BV17),Datos!BV17," - ")</f>
        <v xml:space="preserve"> - </v>
      </c>
      <c r="AG17" s="224" t="str">
        <f>IF(ISNUMBER(Datos!DV17),Datos!DV17," - ")</f>
        <v xml:space="preserve"> - </v>
      </c>
      <c r="AH17" s="297"/>
      <c r="AI17" s="226"/>
      <c r="AJ17" s="224">
        <f>IF(ISNUMBER(Datos!M17),Datos!M17," - ")</f>
        <v>18</v>
      </c>
      <c r="AK17" s="228">
        <f>IF(ISNUMBER(Datos!N17),Datos!N17," - ")</f>
        <v>72</v>
      </c>
      <c r="AL17" s="228" t="str">
        <f>IF(ISNUMBER(Datos!BW17),Datos!BW17," - ")</f>
        <v xml:space="preserve"> - </v>
      </c>
      <c r="AM17" s="227" t="str">
        <f>IF(ISNUMBER(Datos!BX17),Datos!BX17," - ")</f>
        <v xml:space="preserve"> - </v>
      </c>
      <c r="AN17" s="242"/>
      <c r="AO17" s="259">
        <f>IF(ISNUMBER(((NºAsuntos!I17/NºAsuntos!G17)*11)/factor_trimestre),((NºAsuntos!I17/NºAsuntos!G17)*11)/factor_trimestre," - ")</f>
        <v>1.1136363636363635</v>
      </c>
      <c r="AP17" s="229" t="str">
        <f>IF(ISNUMBER(Datos!CI17/Datos!CJ17),Datos!CI17/Datos!CJ17," - ")</f>
        <v xml:space="preserve"> - </v>
      </c>
      <c r="AQ17" s="229" t="str">
        <f>IF(ISNUMBER((I17-Y17+K17)/(F17)),(I17-Y17+K17)/(F17)," - ")</f>
        <v xml:space="preserve"> - </v>
      </c>
      <c r="AR17" s="229" t="str">
        <f>IF(ISNUMBER((Datos!P17-Datos!Q17+O17)/(Datos!R17-Datos!P17+Datos!Q17-O17)),(Datos!P17-Datos!Q17+O17)/(Datos!R17-Datos!P17+Datos!Q17-O17)," - ")</f>
        <v xml:space="preserve"> - </v>
      </c>
      <c r="AS17" s="265" t="str">
        <f>IF(ISNUMBER(Datos!CS17),Datos!CS17," - ")</f>
        <v xml:space="preserve"> - </v>
      </c>
      <c r="AT17" s="265" t="str">
        <f>IF(ISNUMBER(Datos!EI17),Datos!EI17," - ")</f>
        <v xml:space="preserve"> - </v>
      </c>
      <c r="AU17" s="265" t="str">
        <f>IF(ISNUMBER(Datos!EV17),Datos!EV17," - ")</f>
        <v xml:space="preserve"> - </v>
      </c>
      <c r="AV17" s="265" t="str">
        <f>IF(ISNUMBER(Datos!CW17),Datos!CW17," - ")</f>
        <v xml:space="preserve"> - </v>
      </c>
      <c r="AW17" s="265">
        <f>Datos!CX17</f>
        <v>0</v>
      </c>
      <c r="AX17" s="484">
        <f>Datos!DU17</f>
        <v>0</v>
      </c>
      <c r="AY17" s="470"/>
      <c r="BU17" s="1024">
        <f>Datos!ER17/factor_trimestre</f>
        <v>436.36363636363637</v>
      </c>
      <c r="BZ17" s="1185">
        <f>Datos!EZ17</f>
        <v>0</v>
      </c>
    </row>
    <row r="18" spans="1:78" ht="15.75" thickTop="1" thickBot="1">
      <c r="A18" s="177"/>
      <c r="B18" s="177"/>
      <c r="C18" s="862" t="str">
        <f>Datos!A18</f>
        <v>TOTAL</v>
      </c>
      <c r="D18" s="862"/>
      <c r="E18" s="1168">
        <f>SUBTOTAL(9,E15:E17)</f>
        <v>6</v>
      </c>
      <c r="F18" s="897">
        <f>SUBTOTAL(9,F15:F17)</f>
        <v>3108</v>
      </c>
      <c r="G18" s="897">
        <f>SUBTOTAL(9,G15:G17)</f>
        <v>3437</v>
      </c>
      <c r="H18" s="931">
        <f>SUBTOTAL(9,H15:H17)</f>
        <v>0</v>
      </c>
      <c r="I18" s="910">
        <f>SUBTOTAL(9,I15:I17)</f>
        <v>0</v>
      </c>
      <c r="J18" s="866">
        <f>SUBTOTAL(9,J14:J17)</f>
        <v>0</v>
      </c>
      <c r="K18" s="931">
        <f t="shared" ref="K18:S18" si="4">SUBTOTAL(9,K15:K17)</f>
        <v>0</v>
      </c>
      <c r="L18" s="931">
        <f t="shared" si="4"/>
        <v>0</v>
      </c>
      <c r="M18" s="931">
        <f t="shared" si="4"/>
        <v>0</v>
      </c>
      <c r="N18" s="931">
        <f t="shared" si="4"/>
        <v>38</v>
      </c>
      <c r="O18" s="931">
        <f t="shared" si="4"/>
        <v>0</v>
      </c>
      <c r="P18" s="1121">
        <f t="shared" si="4"/>
        <v>0</v>
      </c>
      <c r="Q18" s="1121">
        <f t="shared" si="4"/>
        <v>0</v>
      </c>
      <c r="R18" s="931">
        <f t="shared" si="4"/>
        <v>0</v>
      </c>
      <c r="S18" s="1121">
        <f t="shared" si="4"/>
        <v>0</v>
      </c>
      <c r="T18" s="863">
        <f>SUBTOTAL(9,T14:T17)</f>
        <v>0</v>
      </c>
      <c r="U18" s="992" t="e">
        <f>SUBTOTAL(9,U14:U17)</f>
        <v>#VALUE!</v>
      </c>
      <c r="V18" s="932">
        <f>SUBTOTAL(9,V15:V17)</f>
        <v>0</v>
      </c>
      <c r="W18" s="931">
        <f>SUBTOTAL(9,W15:W17)</f>
        <v>0</v>
      </c>
      <c r="X18" s="928" t="str">
        <f>IF(ISNUMBER((W18*factor_trimestre)/Datos!CN18),(W18*factor_trimestre)/Datos!CN18,"-")</f>
        <v>-</v>
      </c>
      <c r="Y18" s="931">
        <f t="shared" ref="Y18:AN18" si="5">SUBTOTAL(9,Y15:Y17)</f>
        <v>1688</v>
      </c>
      <c r="Z18" s="931">
        <f t="shared" si="5"/>
        <v>35</v>
      </c>
      <c r="AA18" s="931">
        <f t="shared" si="5"/>
        <v>3396</v>
      </c>
      <c r="AB18" s="931">
        <f t="shared" si="5"/>
        <v>0</v>
      </c>
      <c r="AC18" s="931">
        <f t="shared" si="5"/>
        <v>0</v>
      </c>
      <c r="AD18" s="931">
        <f t="shared" si="5"/>
        <v>0</v>
      </c>
      <c r="AE18" s="931">
        <f t="shared" si="5"/>
        <v>345</v>
      </c>
      <c r="AF18" s="931">
        <f t="shared" si="5"/>
        <v>0</v>
      </c>
      <c r="AG18" s="931">
        <f t="shared" si="5"/>
        <v>0</v>
      </c>
      <c r="AH18" s="931">
        <f t="shared" si="5"/>
        <v>0</v>
      </c>
      <c r="AI18" s="931">
        <f t="shared" si="5"/>
        <v>0</v>
      </c>
      <c r="AJ18" s="931">
        <f t="shared" si="5"/>
        <v>277</v>
      </c>
      <c r="AK18" s="931">
        <f t="shared" si="5"/>
        <v>875</v>
      </c>
      <c r="AL18" s="931">
        <f t="shared" si="5"/>
        <v>0</v>
      </c>
      <c r="AM18" s="931">
        <f t="shared" si="5"/>
        <v>0</v>
      </c>
      <c r="AN18" s="931">
        <f t="shared" si="5"/>
        <v>0</v>
      </c>
      <c r="AO18" s="933">
        <f>IF(ISNUMBER(((NºAsuntos!I18/NºAsuntos!G18)*11)/factor_trimestre),((NºAsuntos!I18/NºAsuntos!G18)*11)/factor_trimestre," - ")</f>
        <v>6.0355450236966819</v>
      </c>
      <c r="AP18" s="929" t="str">
        <f>IF(ISNUMBER(Datos!CI18/Datos!CJ18),Datos!CI18/Datos!CJ18," - ")</f>
        <v xml:space="preserve"> - </v>
      </c>
      <c r="AQ18" s="934">
        <f t="shared" ref="AQ18:AV18" si="6">SUBTOTAL(9,AQ15:AQ17)</f>
        <v>0</v>
      </c>
      <c r="AR18" s="934">
        <f t="shared" si="6"/>
        <v>0</v>
      </c>
      <c r="AS18" s="929">
        <f t="shared" si="6"/>
        <v>0</v>
      </c>
      <c r="AT18" s="929">
        <f t="shared" si="6"/>
        <v>0</v>
      </c>
      <c r="AU18" s="929">
        <f t="shared" si="6"/>
        <v>0</v>
      </c>
      <c r="AV18" s="929">
        <f t="shared" si="6"/>
        <v>0</v>
      </c>
      <c r="AW18" s="929"/>
      <c r="AX18" s="929"/>
      <c r="BU18" s="905"/>
      <c r="BZ18" s="1185"/>
    </row>
    <row r="19" spans="1:78" ht="18.75" customHeight="1" thickTop="1" thickBot="1">
      <c r="A19" s="171"/>
      <c r="B19" s="171"/>
      <c r="C19" s="817" t="str">
        <f>Datos!A19</f>
        <v>TOTAL JURISDICCIONES</v>
      </c>
      <c r="D19" s="818"/>
      <c r="E19" s="1169">
        <f t="shared" ref="E19:O19" si="7">SUBTOTAL(9,E9:E18)</f>
        <v>12</v>
      </c>
      <c r="F19" s="819">
        <f t="shared" si="7"/>
        <v>3206</v>
      </c>
      <c r="G19" s="819">
        <f t="shared" si="7"/>
        <v>3535</v>
      </c>
      <c r="H19" s="820">
        <f t="shared" si="7"/>
        <v>0</v>
      </c>
      <c r="I19" s="819">
        <f t="shared" si="7"/>
        <v>0</v>
      </c>
      <c r="J19" s="821">
        <f t="shared" si="7"/>
        <v>0</v>
      </c>
      <c r="K19" s="819">
        <f t="shared" si="7"/>
        <v>0</v>
      </c>
      <c r="L19" s="822">
        <f t="shared" si="7"/>
        <v>0</v>
      </c>
      <c r="M19" s="819">
        <f t="shared" si="7"/>
        <v>0</v>
      </c>
      <c r="N19" s="820">
        <f t="shared" si="7"/>
        <v>686</v>
      </c>
      <c r="O19" s="820">
        <f t="shared" si="7"/>
        <v>0</v>
      </c>
      <c r="P19" s="1122">
        <f>IF(ISNUMBER(AVERAGE(P8:P18)),AVERAGE(P8:P18),"-")</f>
        <v>0</v>
      </c>
      <c r="Q19" s="1122">
        <f>IF(ISNUMBER(AVERAGE(Q8:Q18)),AVERAGE(Q8:Q18),"-")</f>
        <v>0</v>
      </c>
      <c r="R19" s="820">
        <f>SUBTOTAL(9,R9:R18)</f>
        <v>0</v>
      </c>
      <c r="S19" s="1122">
        <f>IF(ISNUMBER(AVERAGE(S8:S18)),AVERAGE(S8:S18),"-")</f>
        <v>0</v>
      </c>
      <c r="T19" s="879">
        <f>SUBTOTAL(9,T9:T18)</f>
        <v>0</v>
      </c>
      <c r="U19" s="993" t="e">
        <f>SUBTOTAL(9,U9:U18)</f>
        <v>#VALUE!</v>
      </c>
      <c r="V19" s="824">
        <f>SUBTOTAL(9,V9:V18)</f>
        <v>0</v>
      </c>
      <c r="W19" s="819">
        <f>SUBTOTAL(9,W9:W18)</f>
        <v>0</v>
      </c>
      <c r="X19" s="825">
        <f>IF(ISNUMBER(AVERAGE(X8:X18)),AVERAGE(X8:X18),"-")</f>
        <v>0</v>
      </c>
      <c r="Y19" s="826">
        <f t="shared" ref="Y19:AM19" si="8">SUBTOTAL(9,Y9:Y18)</f>
        <v>1700</v>
      </c>
      <c r="Z19" s="826">
        <f t="shared" si="8"/>
        <v>268</v>
      </c>
      <c r="AA19" s="827">
        <f t="shared" si="8"/>
        <v>3493</v>
      </c>
      <c r="AB19" s="827">
        <f t="shared" si="8"/>
        <v>0</v>
      </c>
      <c r="AC19" s="827">
        <f t="shared" si="8"/>
        <v>0</v>
      </c>
      <c r="AD19" s="828">
        <f t="shared" si="8"/>
        <v>0</v>
      </c>
      <c r="AE19" s="828">
        <f t="shared" si="8"/>
        <v>9468</v>
      </c>
      <c r="AF19" s="829">
        <f t="shared" si="8"/>
        <v>0</v>
      </c>
      <c r="AG19" s="830">
        <f t="shared" si="8"/>
        <v>0</v>
      </c>
      <c r="AH19" s="831">
        <f t="shared" si="8"/>
        <v>0</v>
      </c>
      <c r="AI19" s="829">
        <f t="shared" si="8"/>
        <v>0</v>
      </c>
      <c r="AJ19" s="819">
        <f t="shared" si="8"/>
        <v>727</v>
      </c>
      <c r="AK19" s="819">
        <f t="shared" si="8"/>
        <v>2174</v>
      </c>
      <c r="AL19" s="819">
        <f t="shared" si="8"/>
        <v>0</v>
      </c>
      <c r="AM19" s="832">
        <f t="shared" si="8"/>
        <v>0</v>
      </c>
      <c r="AN19" s="822">
        <f>IF(ISNUMBER(Datos!K19/Datos!J19),Datos!K19/Datos!J19," - ")</f>
        <v>1.2192720763723151</v>
      </c>
      <c r="AO19" s="822">
        <f>IF(ISNUMBER(FIND("06",Criterios!A8,1)),(IF(ISNUMBER(((Datos!R19/Datos!Q19)*11)/factor_trimestre),((Datos!R19/Datos!Q19)*11)/factor_trimestre," - ")),(IF(ISNUMBER(((Datos!L19/Datos!K19)*11)/factor_trimestre),((Datos!L19/Datos!K19)*11)/factor_trimestre," - ")))</f>
        <v>6.9234157083435282</v>
      </c>
      <c r="AP19" s="833" t="str">
        <f>IF(ISNUMBER(Datos!CI19/Datos!CJ19),Datos!CI19/Datos!CJ19," - ")</f>
        <v xml:space="preserve"> - </v>
      </c>
      <c r="AQ19" s="833">
        <f>IF(OR(ISNUMBER(FIND("01",Criterios!A8,1)),ISNUMBER(FIND("02",Criterios!A8,1)),ISNUMBER(FIND("03",Criterios!A8,1)),ISNUMBER(FIND("04",Criterios!A8,1))),(J19-Y19+K19)/(F19-K19),(I19-Y19+K19)/(F19-K19))</f>
        <v>-0.53025577043044292</v>
      </c>
      <c r="AR19" s="833">
        <f>IF(ISNUMBER((Datos!P19-Datos!Q19+O19)/(Datos!R19-Datos!P19+Datos!Q19-O19)),(Datos!P19-Datos!Q19+O19)/(Datos!R19-Datos!P19+Datos!Q19-O19)," - ")</f>
        <v>4.6187845303867402E-2</v>
      </c>
      <c r="AS19" s="834">
        <f>SUBTOTAL(9,AS9:AS18)</f>
        <v>0</v>
      </c>
      <c r="AT19" s="834">
        <f>SUBTOTAL(9,AT9:AT18)</f>
        <v>0</v>
      </c>
      <c r="AU19" s="834">
        <f>SUBTOTAL(9,AU9:AU18)</f>
        <v>0</v>
      </c>
      <c r="AV19" s="834">
        <f>SUBTOTAL(9,AV9:AV18)</f>
        <v>0</v>
      </c>
      <c r="AW19" s="835"/>
      <c r="AX19" s="836"/>
      <c r="BU19" s="918"/>
    </row>
    <row r="20" spans="1:78" ht="18.75" customHeight="1" thickTop="1" thickBot="1">
      <c r="A20" s="166"/>
      <c r="B20" s="166">
        <f>'Indicadores CA'!B20</f>
        <v>0</v>
      </c>
      <c r="C20" s="837" t="s">
        <v>264</v>
      </c>
      <c r="D20" s="838"/>
      <c r="E20" s="1170">
        <f ca="1">IF(ISNUMBER(SUMIF($B8:$B18,$B20,E8:E18)/INDIRECT("Datos!AP"&amp;ROW()-1)),SUMIF($B8:$B18,$B20,E8:E18)/INDIRECT("Datos!AP"&amp;ROW()-1),"-")</f>
        <v>0</v>
      </c>
      <c r="F20" s="812">
        <f ca="1">IF(ISNUMBER(SUMIF($B8:$B18,$B20,F8:F18)/INDIRECT("Datos!AP"&amp;ROW()-1)),SUMIF($B8:$B18,$B20,F8:F18)/INDIRECT("Datos!AP"&amp;ROW()-1),"-")</f>
        <v>0</v>
      </c>
      <c r="G20" s="812">
        <f>IF(ISNUMBER(AVERAGE(G8:G18)),AVERAGE(G8:G18),"-")</f>
        <v>1414</v>
      </c>
      <c r="H20" s="812">
        <f t="shared" ref="H20:AO20" ca="1" si="9">IF(ISNUMBER(SUMIF($B8:$B18,$B20,H8:H18)/INDIRECT("Datos!AP"&amp;ROW()-1)),SUMIF($B8:$B18,$B20,H8:H18)/INDIRECT("Datos!AP"&amp;ROW()-1),"-")</f>
        <v>0</v>
      </c>
      <c r="I20" s="812">
        <f t="shared" ca="1" si="9"/>
        <v>0</v>
      </c>
      <c r="J20" s="814">
        <f t="shared" ca="1" si="9"/>
        <v>0</v>
      </c>
      <c r="K20" s="812">
        <f t="shared" ca="1" si="9"/>
        <v>0</v>
      </c>
      <c r="L20" s="812">
        <f t="shared" ca="1" si="9"/>
        <v>0</v>
      </c>
      <c r="M20" s="812">
        <f t="shared" ca="1" si="9"/>
        <v>0</v>
      </c>
      <c r="N20" s="812">
        <f t="shared" ca="1" si="9"/>
        <v>0</v>
      </c>
      <c r="O20" s="812">
        <f t="shared" ca="1" si="9"/>
        <v>0</v>
      </c>
      <c r="P20" s="1123">
        <f t="shared" ca="1" si="9"/>
        <v>0</v>
      </c>
      <c r="Q20" s="1123">
        <f t="shared" ca="1" si="9"/>
        <v>0</v>
      </c>
      <c r="R20" s="812">
        <f t="shared" ca="1" si="9"/>
        <v>0</v>
      </c>
      <c r="S20" s="1123">
        <f t="shared" ca="1" si="9"/>
        <v>0</v>
      </c>
      <c r="T20" s="814">
        <f t="shared" ca="1" si="9"/>
        <v>0</v>
      </c>
      <c r="U20" s="994">
        <f t="shared" ca="1" si="9"/>
        <v>0</v>
      </c>
      <c r="V20" s="839">
        <f t="shared" ca="1" si="9"/>
        <v>0</v>
      </c>
      <c r="W20" s="812">
        <f t="shared" ca="1" si="9"/>
        <v>0</v>
      </c>
      <c r="X20" s="840">
        <f t="shared" ca="1" si="9"/>
        <v>0</v>
      </c>
      <c r="Y20" s="813">
        <f t="shared" ca="1" si="9"/>
        <v>0</v>
      </c>
      <c r="Z20" s="813">
        <f t="shared" ca="1" si="9"/>
        <v>0</v>
      </c>
      <c r="AA20" s="813">
        <f t="shared" ca="1" si="9"/>
        <v>0</v>
      </c>
      <c r="AB20" s="813">
        <f t="shared" ca="1" si="9"/>
        <v>0</v>
      </c>
      <c r="AC20" s="813">
        <f t="shared" ca="1" si="9"/>
        <v>0</v>
      </c>
      <c r="AD20" s="841">
        <f t="shared" ca="1" si="9"/>
        <v>0</v>
      </c>
      <c r="AE20" s="841">
        <f t="shared" ca="1" si="9"/>
        <v>0</v>
      </c>
      <c r="AF20" s="814">
        <f t="shared" ca="1" si="9"/>
        <v>0</v>
      </c>
      <c r="AG20" s="842">
        <f t="shared" ca="1" si="9"/>
        <v>0</v>
      </c>
      <c r="AH20" s="841">
        <f t="shared" ca="1" si="9"/>
        <v>0</v>
      </c>
      <c r="AI20" s="814">
        <f t="shared" ca="1" si="9"/>
        <v>0</v>
      </c>
      <c r="AJ20" s="812">
        <f t="shared" ca="1" si="9"/>
        <v>0</v>
      </c>
      <c r="AK20" s="812">
        <f t="shared" ca="1" si="9"/>
        <v>0</v>
      </c>
      <c r="AL20" s="812">
        <f t="shared" ca="1" si="9"/>
        <v>0</v>
      </c>
      <c r="AM20" s="814">
        <f t="shared" ca="1" si="9"/>
        <v>0</v>
      </c>
      <c r="AN20" s="812">
        <f t="shared" ca="1" si="9"/>
        <v>0</v>
      </c>
      <c r="AO20" s="812">
        <f t="shared" ca="1" si="9"/>
        <v>0</v>
      </c>
      <c r="AP20" s="833" t="e">
        <f ca="1">INDIRECT("Datos!CI"&amp;ROW()-1)/INDIRECT("Datos!CJ"&amp;ROW()-1)</f>
        <v>#DIV/0!</v>
      </c>
      <c r="AQ20" s="833" t="e">
        <f ca="1">IF(OR(ISNUMBER(FIND("01",Criterios!A8,1)),ISNUMBER(FIND("02",Criterios!A8,1)),ISNUMBER(FIND("03",Criterios!A8,1)),ISNUMBER(FIND("04",Criterios!A8,1))),(J20-Y20+K20)/(F20-K20),(I20-Y20+K20)/(F20-K20))</f>
        <v>#DIV/0!</v>
      </c>
      <c r="AR20" s="843">
        <f t="shared" ref="AR20:AW20" ca="1" si="10">IF(ISNUMBER(SUMIF($B8:$B18,$B20,AR8:AR18)/INDIRECT("Datos!AP"&amp;ROW()-1)),SUMIF($B8:$B18,$B20,AR8:AR18)/INDIRECT("Datos!AP"&amp;ROW()-1),"-")</f>
        <v>0</v>
      </c>
      <c r="AS20" s="844">
        <f t="shared" ca="1" si="10"/>
        <v>0</v>
      </c>
      <c r="AT20" s="844">
        <f t="shared" ca="1" si="10"/>
        <v>0</v>
      </c>
      <c r="AU20" s="844">
        <f t="shared" ca="1" si="10"/>
        <v>0</v>
      </c>
      <c r="AV20" s="844">
        <f t="shared" ca="1" si="10"/>
        <v>0</v>
      </c>
      <c r="AW20" s="844">
        <f t="shared" ca="1" si="10"/>
        <v>0</v>
      </c>
      <c r="AX20" s="844"/>
      <c r="BU20" s="926"/>
    </row>
    <row r="21" spans="1:78" ht="18.75" hidden="1" customHeight="1" thickTop="1" thickBot="1">
      <c r="A21" s="167"/>
      <c r="B21" s="167"/>
      <c r="C21" s="529" t="s">
        <v>265</v>
      </c>
      <c r="D21" s="340"/>
      <c r="E21" s="579"/>
      <c r="F21" s="251">
        <f>IF(ISNUMBER(STDEV(F8:F18)),STDEV(F8:F18),"-")</f>
        <v>1737.8243102607737</v>
      </c>
      <c r="G21" s="551">
        <f>IF(ISNUMBER(STDEV(G8:G18)),STDEV(G8:G18),"-")</f>
        <v>1812.7235034610214</v>
      </c>
      <c r="H21" s="254"/>
      <c r="I21" s="251">
        <f>IF(ISNUMBER(STDEV(I8:I18)),STDEV(I8:I18),"-")</f>
        <v>0</v>
      </c>
      <c r="J21" s="253">
        <f>IF(ISNUMBER(STDEV(J8:J18)),STDEV(J8:J18),"-")</f>
        <v>0</v>
      </c>
      <c r="K21" s="604"/>
      <c r="L21" s="604"/>
      <c r="M21" s="604"/>
      <c r="N21" s="254"/>
      <c r="O21" s="254"/>
      <c r="P21" s="1124"/>
      <c r="Q21" s="1124"/>
      <c r="R21" s="254"/>
      <c r="S21" s="1126"/>
      <c r="T21" s="300"/>
      <c r="U21" s="995"/>
      <c r="V21" s="604"/>
      <c r="W21" s="251">
        <f>IF(ISNUMBER(STDEV(W8:W18)),STDEV(W8:W18),"-")</f>
        <v>0</v>
      </c>
      <c r="X21" s="312">
        <f>IF(ISNUMBER(STDEV(X8:X18)),STDEV(X8:X18),"-")</f>
        <v>0</v>
      </c>
      <c r="Y21" s="281"/>
      <c r="Z21" s="281"/>
      <c r="AA21" s="281"/>
      <c r="AB21" s="281"/>
      <c r="AC21" s="281"/>
      <c r="AD21" s="281"/>
      <c r="AE21" s="281"/>
      <c r="AF21" s="253">
        <f>IF(ISNUMBER(STDEV(AF8:AF18)),STDEV(AF8:AF18),"-")</f>
        <v>0</v>
      </c>
      <c r="AG21" s="254">
        <f>IF(ISNUMBER(STDEV(AG8:AG18)),STDEV(AG8:AG18),"-")</f>
        <v>0</v>
      </c>
      <c r="AH21" s="281">
        <f>IF(ISNUMBER(STDEV(AH8:AH18)),STDEV(AH8:AH18),"-")</f>
        <v>0</v>
      </c>
      <c r="AI21" s="296"/>
      <c r="AJ21" s="251">
        <f>IF(ISNUMBER(STDEV(AJ8:AJ18)),STDEV(AJ8:AJ18),"-")</f>
        <v>194.7867209710833</v>
      </c>
      <c r="AK21" s="251"/>
      <c r="AL21" s="251">
        <f>IF(ISNUMBER(STDEV(AL8:AL18)),STDEV(AL8:AL18),"-")</f>
        <v>0</v>
      </c>
      <c r="AM21" s="253">
        <f>IF(ISNUMBER(STDEV(AM8:AM18)),STDEV(AM8:AM18),"-")</f>
        <v>0</v>
      </c>
      <c r="AN21" s="538">
        <f>IF(ISNUMBER(STDEV(AN8:AN18)),STDEV(AN8:AN18),"-")</f>
        <v>0</v>
      </c>
      <c r="AO21" s="539">
        <f>IF(ISNUMBER(STDEV(AO8:AO18)),STDEV(AO8:AO18),"-")</f>
        <v>7.9544931209534315</v>
      </c>
      <c r="AP21" s="540" t="str">
        <f>IF(ISNUMBER(STDEV(AP8:AP18)),STDEV(AP8:AP18),"-")</f>
        <v>-</v>
      </c>
      <c r="AQ21" s="296"/>
      <c r="AR21" s="296"/>
      <c r="AS21" s="296"/>
      <c r="AT21" s="296"/>
      <c r="AU21" s="296"/>
      <c r="AV21" s="296"/>
      <c r="AW21" s="300">
        <f>IF(ISNUMBER(STDEV(AW8:AW18)),STDEV(AW8:AW18),"-")</f>
        <v>0</v>
      </c>
      <c r="AX21" s="541">
        <f>IF(ISNUMBER(STDEV(AX8:AX18)),STDEV(AX8:AX18),"-")</f>
        <v>0</v>
      </c>
      <c r="BU21" s="562">
        <f>IF(ISNUMBER(STDEV(BU8:BU18)),STDEV(BU8:BU18),"-")</f>
        <v>230.82251419185957</v>
      </c>
    </row>
    <row r="22" spans="1:78" ht="12" customHeight="1" thickTop="1" thickBot="1">
      <c r="C22" s="530"/>
      <c r="D22" s="73"/>
      <c r="E22" s="73"/>
      <c r="F22" s="542"/>
      <c r="G22" s="563"/>
      <c r="H22" s="542"/>
      <c r="I22" s="542"/>
      <c r="K22" s="605"/>
      <c r="L22" s="605"/>
      <c r="M22" s="605"/>
      <c r="N22" s="542"/>
      <c r="O22" s="542"/>
      <c r="P22" s="1125"/>
      <c r="Q22" s="1125"/>
      <c r="R22" s="589"/>
      <c r="S22" s="1125"/>
      <c r="T22" s="95"/>
      <c r="U22" s="622"/>
      <c r="V22" s="605"/>
      <c r="W22" s="542"/>
      <c r="X22" s="543"/>
      <c r="Y22" s="589"/>
      <c r="Z22" s="589"/>
      <c r="AA22" s="542"/>
      <c r="AB22" s="542"/>
      <c r="AC22" s="542"/>
      <c r="AD22" s="542"/>
      <c r="AE22" s="542"/>
      <c r="AF22" s="542"/>
      <c r="AG22" s="542"/>
      <c r="AH22" s="542"/>
      <c r="AI22" s="542"/>
      <c r="AJ22" s="542"/>
      <c r="AK22" s="542"/>
      <c r="AL22" s="542"/>
      <c r="AM22" s="542"/>
      <c r="AN22" s="542"/>
      <c r="AO22" s="542"/>
      <c r="AP22" s="543"/>
      <c r="AQ22" s="589"/>
      <c r="AR22" s="589"/>
      <c r="AS22" s="589"/>
      <c r="AT22" s="589"/>
      <c r="AU22" s="589"/>
      <c r="AV22" s="589"/>
      <c r="AW22" s="544"/>
      <c r="AX22" s="542"/>
      <c r="BU22" s="563"/>
    </row>
    <row r="23" spans="1:78" ht="15" thickBot="1">
      <c r="C23" s="485"/>
      <c r="D23" s="537"/>
      <c r="E23" s="537"/>
      <c r="F23" s="545"/>
      <c r="G23" s="545"/>
      <c r="H23" s="545"/>
      <c r="I23" s="545"/>
      <c r="J23" s="545"/>
      <c r="K23" s="606"/>
      <c r="L23" s="606"/>
      <c r="M23" s="606"/>
      <c r="N23" s="545"/>
      <c r="O23" s="545"/>
      <c r="P23" s="547"/>
      <c r="Q23" s="547"/>
      <c r="R23" s="590"/>
      <c r="S23" s="1127"/>
      <c r="T23" s="1023"/>
      <c r="U23" s="546"/>
      <c r="V23" s="1022"/>
      <c r="W23" s="545"/>
      <c r="X23" s="547"/>
      <c r="Y23" s="590"/>
      <c r="Z23" s="590"/>
      <c r="AA23" s="545"/>
      <c r="AB23" s="545"/>
      <c r="AC23" s="545"/>
      <c r="AD23" s="545"/>
      <c r="AE23" s="545"/>
      <c r="AF23" s="548"/>
      <c r="AG23" s="545"/>
      <c r="AH23" s="545"/>
      <c r="AI23" s="545"/>
      <c r="AJ23" s="545"/>
      <c r="AK23" s="545"/>
      <c r="AL23" s="545"/>
      <c r="AM23" s="545"/>
      <c r="AN23" s="545"/>
      <c r="AO23" s="545"/>
      <c r="AP23" s="546"/>
      <c r="AQ23" s="590"/>
      <c r="AR23" s="590"/>
      <c r="AS23" s="590"/>
      <c r="AT23" s="590"/>
      <c r="AU23" s="590"/>
      <c r="AV23" s="590"/>
      <c r="AW23" s="549"/>
      <c r="AX23" s="549"/>
      <c r="BU23" s="570"/>
    </row>
    <row r="24" spans="1:78" ht="15" thickBot="1">
      <c r="C24" s="485"/>
      <c r="D24" s="537"/>
      <c r="E24" s="537"/>
      <c r="F24" s="545"/>
      <c r="G24" s="545"/>
      <c r="H24" s="545"/>
      <c r="I24" s="545"/>
      <c r="J24" s="545"/>
      <c r="K24" s="606"/>
      <c r="L24" s="606"/>
      <c r="M24" s="606"/>
      <c r="N24" s="545"/>
      <c r="O24" s="545"/>
      <c r="P24" s="547"/>
      <c r="Q24" s="547"/>
      <c r="R24" s="590"/>
      <c r="S24" s="1127"/>
      <c r="T24" s="545"/>
      <c r="U24" s="546"/>
      <c r="V24" s="1022"/>
      <c r="W24" s="545"/>
      <c r="X24" s="547"/>
      <c r="Y24" s="590"/>
      <c r="Z24" s="590"/>
      <c r="AA24" s="545"/>
      <c r="AB24" s="545"/>
      <c r="AC24" s="545"/>
      <c r="AD24" s="545"/>
      <c r="AE24" s="545"/>
      <c r="AF24" s="548"/>
      <c r="AG24" s="545"/>
      <c r="AH24" s="545"/>
      <c r="AI24" s="545"/>
      <c r="AJ24" s="545"/>
      <c r="AK24" s="545"/>
      <c r="AL24" s="545"/>
      <c r="AM24" s="545"/>
      <c r="AN24" s="545"/>
      <c r="AO24" s="545"/>
      <c r="AP24" s="546"/>
      <c r="AQ24" s="590"/>
      <c r="AR24" s="590"/>
      <c r="AS24" s="590"/>
      <c r="AT24" s="590"/>
      <c r="AU24" s="590"/>
      <c r="AV24" s="590"/>
      <c r="AW24" s="549"/>
      <c r="AX24" s="549"/>
      <c r="BU24" s="570"/>
    </row>
    <row r="25" spans="1:78" ht="12.75" hidden="1" customHeight="1">
      <c r="C25" s="293" t="s">
        <v>262</v>
      </c>
      <c r="D25" s="520"/>
      <c r="E25" s="580">
        <f t="shared" ref="E25:O25" si="11">E23+2*E24</f>
        <v>0</v>
      </c>
      <c r="F25" s="508">
        <f t="shared" si="11"/>
        <v>0</v>
      </c>
      <c r="G25" s="502">
        <f t="shared" si="11"/>
        <v>0</v>
      </c>
      <c r="H25" s="522">
        <f t="shared" si="11"/>
        <v>0</v>
      </c>
      <c r="I25" s="522">
        <f t="shared" si="11"/>
        <v>0</v>
      </c>
      <c r="J25" s="141">
        <f t="shared" si="11"/>
        <v>0</v>
      </c>
      <c r="K25" s="522">
        <f t="shared" si="11"/>
        <v>0</v>
      </c>
      <c r="L25" s="522">
        <f t="shared" si="11"/>
        <v>0</v>
      </c>
      <c r="M25" s="522">
        <f t="shared" si="11"/>
        <v>0</v>
      </c>
      <c r="N25" s="522">
        <f t="shared" si="11"/>
        <v>0</v>
      </c>
      <c r="O25" s="522">
        <f t="shared" si="11"/>
        <v>0</v>
      </c>
      <c r="P25" s="523">
        <f t="shared" ref="P25:Z25" si="12">P23+2*P24</f>
        <v>0</v>
      </c>
      <c r="Q25" s="523">
        <f t="shared" si="12"/>
        <v>0</v>
      </c>
      <c r="R25" s="522">
        <f t="shared" si="12"/>
        <v>0</v>
      </c>
      <c r="S25" s="613">
        <f t="shared" si="12"/>
        <v>0</v>
      </c>
      <c r="T25" s="616">
        <f t="shared" si="12"/>
        <v>0</v>
      </c>
      <c r="U25" s="613">
        <f t="shared" si="12"/>
        <v>0</v>
      </c>
      <c r="V25" s="616">
        <f>V23+2*V24</f>
        <v>0</v>
      </c>
      <c r="W25" s="522">
        <f t="shared" si="12"/>
        <v>0</v>
      </c>
      <c r="X25" s="523">
        <f t="shared" si="12"/>
        <v>0</v>
      </c>
      <c r="Y25" s="583">
        <f t="shared" si="12"/>
        <v>0</v>
      </c>
      <c r="Z25" s="583">
        <f t="shared" si="12"/>
        <v>0</v>
      </c>
      <c r="AA25" s="522">
        <f t="shared" ref="AA25:AR25" si="13">AA23+2*AA24</f>
        <v>0</v>
      </c>
      <c r="AB25" s="522">
        <f t="shared" si="13"/>
        <v>0</v>
      </c>
      <c r="AC25" s="522">
        <f t="shared" si="13"/>
        <v>0</v>
      </c>
      <c r="AD25" s="522">
        <f t="shared" si="13"/>
        <v>0</v>
      </c>
      <c r="AE25" s="522">
        <f t="shared" si="13"/>
        <v>0</v>
      </c>
      <c r="AF25" s="522">
        <f t="shared" si="13"/>
        <v>0</v>
      </c>
      <c r="AG25" s="522">
        <f t="shared" si="13"/>
        <v>0</v>
      </c>
      <c r="AH25" s="522">
        <f t="shared" si="13"/>
        <v>0</v>
      </c>
      <c r="AI25" s="522">
        <f t="shared" si="13"/>
        <v>0</v>
      </c>
      <c r="AJ25" s="522">
        <f t="shared" si="13"/>
        <v>0</v>
      </c>
      <c r="AK25" s="522">
        <f t="shared" si="13"/>
        <v>0</v>
      </c>
      <c r="AL25" s="522">
        <f t="shared" si="13"/>
        <v>0</v>
      </c>
      <c r="AM25" s="522">
        <f t="shared" si="13"/>
        <v>0</v>
      </c>
      <c r="AN25" s="531">
        <f t="shared" si="13"/>
        <v>0</v>
      </c>
      <c r="AO25" s="531">
        <f t="shared" si="13"/>
        <v>0</v>
      </c>
      <c r="AP25" s="523">
        <f t="shared" si="13"/>
        <v>0</v>
      </c>
      <c r="AQ25" s="523">
        <f t="shared" si="13"/>
        <v>0</v>
      </c>
      <c r="AR25" s="523">
        <f t="shared" si="13"/>
        <v>0</v>
      </c>
      <c r="AS25" s="583">
        <f>AS23+2*AS24</f>
        <v>0</v>
      </c>
      <c r="AT25" s="583">
        <f>AT23+2*AT24</f>
        <v>0</v>
      </c>
      <c r="AU25" s="583">
        <f>AU23+2*AU24</f>
        <v>0</v>
      </c>
      <c r="AV25" s="583">
        <f>AV23+2*AV24</f>
        <v>0</v>
      </c>
      <c r="AW25" s="522">
        <f>(AW23-ultimoDiaTrim)+2*AW24</f>
        <v>0</v>
      </c>
      <c r="AX25" s="532"/>
      <c r="BU25" s="525"/>
    </row>
    <row r="26" spans="1:78" ht="12.75" hidden="1" customHeight="1">
      <c r="C26" s="293" t="s">
        <v>263</v>
      </c>
      <c r="D26" s="520"/>
      <c r="E26" s="503">
        <f>MIN(0,F23-2*F24)</f>
        <v>0</v>
      </c>
      <c r="F26" s="505">
        <f>MIN(0,I23-2*I24)</f>
        <v>0</v>
      </c>
      <c r="G26" s="502">
        <f>MIN(0,G23-2*G24)</f>
        <v>0</v>
      </c>
      <c r="H26" s="502">
        <f>MIN(0,H23-2*H24)</f>
        <v>0</v>
      </c>
      <c r="I26" s="502">
        <f>MIN(0,I23-2*I24)</f>
        <v>0</v>
      </c>
      <c r="J26" s="142">
        <f>MIN(0,J23-2*J24)</f>
        <v>0</v>
      </c>
      <c r="K26" s="502">
        <f t="shared" ref="K26:U26" si="14">MIN(0,K23-2*K24)</f>
        <v>0</v>
      </c>
      <c r="L26" s="502">
        <f t="shared" si="14"/>
        <v>0</v>
      </c>
      <c r="M26" s="502">
        <f t="shared" si="14"/>
        <v>0</v>
      </c>
      <c r="N26" s="502">
        <f t="shared" si="14"/>
        <v>0</v>
      </c>
      <c r="O26" s="502">
        <f t="shared" si="14"/>
        <v>0</v>
      </c>
      <c r="P26" s="524">
        <f t="shared" si="14"/>
        <v>0</v>
      </c>
      <c r="Q26" s="524">
        <f t="shared" si="14"/>
        <v>0</v>
      </c>
      <c r="R26" s="502">
        <f t="shared" si="14"/>
        <v>0</v>
      </c>
      <c r="S26" s="614">
        <f t="shared" si="14"/>
        <v>0</v>
      </c>
      <c r="T26" s="504">
        <f t="shared" si="14"/>
        <v>0</v>
      </c>
      <c r="U26" s="614">
        <f t="shared" si="14"/>
        <v>0</v>
      </c>
      <c r="V26" s="504">
        <f>MIN(0,V23-2*V24)</f>
        <v>0</v>
      </c>
      <c r="W26" s="502">
        <f>MIN(0,W23-2*W24)</f>
        <v>0</v>
      </c>
      <c r="X26" s="524">
        <f>MIN(0,X23-2*X24)</f>
        <v>0</v>
      </c>
      <c r="Y26" s="576">
        <f>MIN(0,Y23-2*Y24)</f>
        <v>0</v>
      </c>
      <c r="Z26" s="576">
        <f>MIN(0,Z23-2*Z24)</f>
        <v>0</v>
      </c>
      <c r="AA26" s="502">
        <f t="shared" ref="AA26:AH26" si="15">MIN(0,AA23-2*AA24)</f>
        <v>0</v>
      </c>
      <c r="AB26" s="502">
        <f t="shared" si="15"/>
        <v>0</v>
      </c>
      <c r="AC26" s="502">
        <f t="shared" si="15"/>
        <v>0</v>
      </c>
      <c r="AD26" s="502">
        <f t="shared" si="15"/>
        <v>0</v>
      </c>
      <c r="AE26" s="502">
        <f t="shared" si="15"/>
        <v>0</v>
      </c>
      <c r="AF26" s="502">
        <f t="shared" si="15"/>
        <v>0</v>
      </c>
      <c r="AG26" s="502">
        <f t="shared" si="15"/>
        <v>0</v>
      </c>
      <c r="AH26" s="502">
        <f t="shared" si="15"/>
        <v>0</v>
      </c>
      <c r="AI26" s="502">
        <f>MIN(0,AI23-2*AI24)</f>
        <v>0</v>
      </c>
      <c r="AJ26" s="502">
        <f t="shared" ref="AJ26:AR26" si="16">MIN(0,AJ23-2*AJ24)</f>
        <v>0</v>
      </c>
      <c r="AK26" s="502">
        <f t="shared" si="16"/>
        <v>0</v>
      </c>
      <c r="AL26" s="502">
        <f t="shared" si="16"/>
        <v>0</v>
      </c>
      <c r="AM26" s="502">
        <f t="shared" si="16"/>
        <v>0</v>
      </c>
      <c r="AN26" s="519">
        <f t="shared" si="16"/>
        <v>0</v>
      </c>
      <c r="AO26" s="519">
        <f t="shared" si="16"/>
        <v>0</v>
      </c>
      <c r="AP26" s="524">
        <f t="shared" si="16"/>
        <v>0</v>
      </c>
      <c r="AQ26" s="524">
        <f t="shared" si="16"/>
        <v>0</v>
      </c>
      <c r="AR26" s="524">
        <f t="shared" si="16"/>
        <v>0</v>
      </c>
      <c r="AS26" s="576">
        <f>MIN(0,AS23-2*AS24)</f>
        <v>0</v>
      </c>
      <c r="AT26" s="576">
        <f>MIN(0,AT23-2*AT24)</f>
        <v>0</v>
      </c>
      <c r="AU26" s="576">
        <f>MIN(0,AU23-2*AU24)</f>
        <v>0</v>
      </c>
      <c r="AV26" s="576">
        <f>MIN(0,AV23-2*AV24)</f>
        <v>0</v>
      </c>
      <c r="AW26" s="502">
        <f>MIN(0,(AW23-ultimoDiaTrim)-2*AW24)</f>
        <v>0</v>
      </c>
      <c r="AX26" s="525"/>
      <c r="BU26" s="525"/>
    </row>
    <row r="27" spans="1:78">
      <c r="C27" s="533"/>
      <c r="D27" s="71"/>
      <c r="E27" s="71"/>
    </row>
    <row r="30" spans="1:78">
      <c r="C30" s="534" t="str">
        <f>Criterios!A4</f>
        <v>Fecha Informe: 17 mar. 2026</v>
      </c>
    </row>
    <row r="32" spans="1:78" ht="13.5" thickBot="1">
      <c r="C32" s="535"/>
      <c r="D32" s="526"/>
      <c r="E32" s="526"/>
    </row>
    <row r="33" spans="12:12" ht="15" thickBot="1">
      <c r="L33" s="545"/>
    </row>
  </sheetData>
  <sheetProtection algorithmName="SHA-512" hashValue="2M2F+1eYGlGO1qrEpYrgf+X+UZqP25tH5cetOS6BCZdFMjEpHRbrXaa6wPRE4w64aw4RPAdj6Fuw/8FpSmvSZg==" saltValue="sCp7aSjTq9T21szfGWydJQ==" spinCount="100000" sheet="1" objects="1" scenarios="1"/>
  <mergeCells count="50">
    <mergeCell ref="AU5:AU7"/>
    <mergeCell ref="A5:A7"/>
    <mergeCell ref="C5:C6"/>
    <mergeCell ref="D5:D7"/>
    <mergeCell ref="F5:F7"/>
    <mergeCell ref="I5:I7"/>
    <mergeCell ref="G5:G7"/>
    <mergeCell ref="P5:P7"/>
    <mergeCell ref="X5:X7"/>
    <mergeCell ref="E5:E7"/>
    <mergeCell ref="U5:U7"/>
    <mergeCell ref="W5:W7"/>
    <mergeCell ref="M5:M7"/>
    <mergeCell ref="O5:O7"/>
    <mergeCell ref="H5:H7"/>
    <mergeCell ref="Q5:Q7"/>
    <mergeCell ref="S5:S7"/>
    <mergeCell ref="J5:J7"/>
    <mergeCell ref="K5:K7"/>
    <mergeCell ref="L5:L7"/>
    <mergeCell ref="N5:N7"/>
    <mergeCell ref="R5:R7"/>
    <mergeCell ref="Y5:Y7"/>
    <mergeCell ref="AL5:AL7"/>
    <mergeCell ref="AB5:AB7"/>
    <mergeCell ref="V5:V7"/>
    <mergeCell ref="T5:T7"/>
    <mergeCell ref="AE5:AE7"/>
    <mergeCell ref="AI5:AI7"/>
    <mergeCell ref="Z5:Z7"/>
    <mergeCell ref="AH5:AH7"/>
    <mergeCell ref="AC5:AC7"/>
    <mergeCell ref="AD5:AD7"/>
    <mergeCell ref="AJ5:AJ7"/>
    <mergeCell ref="BU5:BU7"/>
    <mergeCell ref="AA5:AA7"/>
    <mergeCell ref="AR5:AR7"/>
    <mergeCell ref="AT5:AT7"/>
    <mergeCell ref="AM5:AM7"/>
    <mergeCell ref="AK5:AK7"/>
    <mergeCell ref="AQ5:AQ7"/>
    <mergeCell ref="AF5:AF7"/>
    <mergeCell ref="AP5:AP7"/>
    <mergeCell ref="AX5:AX7"/>
    <mergeCell ref="AG5:AG7"/>
    <mergeCell ref="AS5:AS7"/>
    <mergeCell ref="AN5:AN7"/>
    <mergeCell ref="AO5:AO7"/>
    <mergeCell ref="AW5:AW7"/>
    <mergeCell ref="AV5:AV7"/>
  </mergeCells>
  <conditionalFormatting sqref="F15:F17 F9:F12">
    <cfRule type="cellIs" dxfId="325" priority="2257" stopIfTrue="1" operator="notBetween">
      <formula>$F$25</formula>
      <formula>$F$26</formula>
    </cfRule>
  </conditionalFormatting>
  <conditionalFormatting sqref="F21:F24 F9:F18">
    <cfRule type="expression" dxfId="324" priority="393" stopIfTrue="1">
      <formula>IF(F9&lt;&gt;G9,TRUE,FALSE)</formula>
    </cfRule>
  </conditionalFormatting>
  <conditionalFormatting sqref="G10">
    <cfRule type="cellIs" dxfId="323" priority="535" stopIfTrue="1" operator="notBetween">
      <formula>$G$25</formula>
      <formula>$G$26</formula>
    </cfRule>
  </conditionalFormatting>
  <conditionalFormatting sqref="G13 G18">
    <cfRule type="expression" dxfId="322" priority="2259" stopIfTrue="1">
      <formula>IF($G$9&lt;&gt;$F$9,TRUE,FALSE)</formula>
    </cfRule>
  </conditionalFormatting>
  <conditionalFormatting sqref="H15:H17 H9:H12">
    <cfRule type="cellIs" dxfId="321" priority="418" stopIfTrue="1" operator="notBetween">
      <formula>$H$25</formula>
      <formula>$H$26</formula>
    </cfRule>
  </conditionalFormatting>
  <conditionalFormatting sqref="I9:I10 I15:I17">
    <cfRule type="cellIs" dxfId="320" priority="466" stopIfTrue="1" operator="notBetween">
      <formula>$I$25</formula>
      <formula>$I$26</formula>
    </cfRule>
  </conditionalFormatting>
  <conditionalFormatting sqref="I11:I12">
    <cfRule type="cellIs" dxfId="319" priority="2549" stopIfTrue="1" operator="greaterThan">
      <formula>#REF!</formula>
    </cfRule>
    <cfRule type="cellIs" dxfId="318" priority="2550" stopIfTrue="1" operator="lessThan">
      <formula>#REF!</formula>
    </cfRule>
  </conditionalFormatting>
  <conditionalFormatting sqref="K15:K17 K9:K12">
    <cfRule type="cellIs" dxfId="317" priority="465" stopIfTrue="1" operator="notBetween">
      <formula>$K$25</formula>
      <formula>$K$26</formula>
    </cfRule>
  </conditionalFormatting>
  <conditionalFormatting sqref="L15:L17">
    <cfRule type="cellIs" dxfId="316" priority="526" stopIfTrue="1" operator="notBetween">
      <formula>$L$25</formula>
      <formula>$L$26</formula>
    </cfRule>
  </conditionalFormatting>
  <conditionalFormatting sqref="M15:M17 M9:M12">
    <cfRule type="cellIs" dxfId="315" priority="464" stopIfTrue="1" operator="notBetween">
      <formula>$M$25</formula>
      <formula>$M$26</formula>
    </cfRule>
  </conditionalFormatting>
  <conditionalFormatting sqref="N15:N17 N9:N12">
    <cfRule type="cellIs" dxfId="314" priority="421" stopIfTrue="1" operator="notBetween">
      <formula>$N$25</formula>
      <formula>$N$26</formula>
    </cfRule>
  </conditionalFormatting>
  <conditionalFormatting sqref="O15:O17 O9:O12">
    <cfRule type="cellIs" dxfId="313" priority="420" stopIfTrue="1" operator="notBetween">
      <formula>$O$25</formula>
      <formula>$O$26</formula>
    </cfRule>
  </conditionalFormatting>
  <conditionalFormatting sqref="P15:P17 P9:P12">
    <cfRule type="cellIs" dxfId="312" priority="416" stopIfTrue="1" operator="notBetween">
      <formula>$P$25</formula>
      <formula>$P$26</formula>
    </cfRule>
  </conditionalFormatting>
  <conditionalFormatting sqref="Q15:Q17 Q9:Q12">
    <cfRule type="cellIs" dxfId="311" priority="415" stopIfTrue="1" operator="notBetween">
      <formula>$Q$25</formula>
      <formula>$Q$26</formula>
    </cfRule>
  </conditionalFormatting>
  <conditionalFormatting sqref="R9:R12">
    <cfRule type="cellIs" dxfId="310" priority="61" stopIfTrue="1" operator="notBetween">
      <formula>$R$25</formula>
      <formula>$R$26</formula>
    </cfRule>
  </conditionalFormatting>
  <conditionalFormatting sqref="R15:R17">
    <cfRule type="cellIs" dxfId="309" priority="57" stopIfTrue="1" operator="notBetween">
      <formula>$R$25</formula>
      <formula>$R$26</formula>
    </cfRule>
  </conditionalFormatting>
  <conditionalFormatting sqref="S9:S12">
    <cfRule type="cellIs" dxfId="308" priority="60" stopIfTrue="1" operator="notBetween">
      <formula>$S$25</formula>
      <formula>$S$26</formula>
    </cfRule>
  </conditionalFormatting>
  <conditionalFormatting sqref="S15:S17">
    <cfRule type="cellIs" dxfId="307" priority="56" stopIfTrue="1" operator="notBetween">
      <formula>$S$25</formula>
      <formula>$S$26</formula>
    </cfRule>
  </conditionalFormatting>
  <conditionalFormatting sqref="T9">
    <cfRule type="cellIs" dxfId="306" priority="167" stopIfTrue="1" operator="greaterThan">
      <formula>$BU$9</formula>
    </cfRule>
    <cfRule type="cellIs" dxfId="305" priority="168" stopIfTrue="1" operator="lessThan">
      <formula>$BU$9</formula>
    </cfRule>
  </conditionalFormatting>
  <conditionalFormatting sqref="T10">
    <cfRule type="cellIs" dxfId="304" priority="163" stopIfTrue="1" operator="greaterThan">
      <formula>$BU$10</formula>
    </cfRule>
    <cfRule type="cellIs" dxfId="303" priority="164" stopIfTrue="1" operator="lessThan">
      <formula>$BU$10</formula>
    </cfRule>
  </conditionalFormatting>
  <conditionalFormatting sqref="T11">
    <cfRule type="cellIs" dxfId="302" priority="159" stopIfTrue="1" operator="greaterThan">
      <formula>$BU$11</formula>
    </cfRule>
    <cfRule type="cellIs" dxfId="301" priority="160" stopIfTrue="1" operator="lessThan">
      <formula>$BU$11</formula>
    </cfRule>
  </conditionalFormatting>
  <conditionalFormatting sqref="T12">
    <cfRule type="cellIs" dxfId="300" priority="157" stopIfTrue="1" operator="greaterThan">
      <formula>$BU$12</formula>
    </cfRule>
    <cfRule type="cellIs" dxfId="299" priority="158" stopIfTrue="1" operator="lessThan">
      <formula>$BU$12</formula>
    </cfRule>
  </conditionalFormatting>
  <conditionalFormatting sqref="T15">
    <cfRule type="cellIs" dxfId="298" priority="143" stopIfTrue="1" operator="greaterThan">
      <formula>$BU$15</formula>
    </cfRule>
    <cfRule type="cellIs" dxfId="297" priority="144" stopIfTrue="1" operator="lessThan">
      <formula>$BU$15</formula>
    </cfRule>
  </conditionalFormatting>
  <conditionalFormatting sqref="T16">
    <cfRule type="cellIs" dxfId="296" priority="141" stopIfTrue="1" operator="greaterThan">
      <formula>$BU$16</formula>
    </cfRule>
    <cfRule type="cellIs" dxfId="295" priority="142" stopIfTrue="1" operator="lessThan">
      <formula>$BU$16</formula>
    </cfRule>
  </conditionalFormatting>
  <conditionalFormatting sqref="T17">
    <cfRule type="cellIs" dxfId="294" priority="139" stopIfTrue="1" operator="greaterThan">
      <formula>$BU$17</formula>
    </cfRule>
    <cfRule type="cellIs" dxfId="293" priority="140" stopIfTrue="1" operator="lessThan">
      <formula>$BU$17</formula>
    </cfRule>
  </conditionalFormatting>
  <conditionalFormatting sqref="V15:V17 V9:V12">
    <cfRule type="cellIs" dxfId="292" priority="351" stopIfTrue="1" operator="notBetween">
      <formula>$V$25</formula>
      <formula>$V$26</formula>
    </cfRule>
  </conditionalFormatting>
  <conditionalFormatting sqref="W15:W17 W9:W12">
    <cfRule type="cellIs" dxfId="291" priority="445" stopIfTrue="1" operator="notBetween">
      <formula>$W$25</formula>
      <formula>$W$26</formula>
    </cfRule>
  </conditionalFormatting>
  <conditionalFormatting sqref="X15:X17 X9:X12">
    <cfRule type="cellIs" dxfId="290" priority="444" stopIfTrue="1" operator="notBetween">
      <formula>$X$25</formula>
      <formula>$X$26</formula>
    </cfRule>
  </conditionalFormatting>
  <conditionalFormatting sqref="Y15:Y17 Y9:Y12">
    <cfRule type="cellIs" dxfId="289" priority="443" stopIfTrue="1" operator="notBetween">
      <formula>$Y$25</formula>
      <formula>$Y$26</formula>
    </cfRule>
  </conditionalFormatting>
  <conditionalFormatting sqref="Z15:Z17 Z9:Z12">
    <cfRule type="cellIs" dxfId="288" priority="442" stopIfTrue="1" operator="notBetween">
      <formula>$Z$25</formula>
      <formula>$Z$26</formula>
    </cfRule>
  </conditionalFormatting>
  <conditionalFormatting sqref="AA15:AA17 AA9:AA12">
    <cfRule type="cellIs" dxfId="287" priority="388" stopIfTrue="1" operator="notBetween">
      <formula>$AA$25</formula>
      <formula>$AA$26</formula>
    </cfRule>
  </conditionalFormatting>
  <conditionalFormatting sqref="AB15:AB17 AB9:AB12">
    <cfRule type="cellIs" dxfId="286" priority="441" stopIfTrue="1" operator="notBetween">
      <formula>$AB$25</formula>
      <formula>$AB$26</formula>
    </cfRule>
  </conditionalFormatting>
  <conditionalFormatting sqref="AC15:AC17 AC9:AC12">
    <cfRule type="cellIs" dxfId="285" priority="440" stopIfTrue="1" operator="notBetween">
      <formula>$AC$25</formula>
      <formula>$AC$26</formula>
    </cfRule>
  </conditionalFormatting>
  <conditionalFormatting sqref="AD15:AD17 AD9:AD12">
    <cfRule type="cellIs" dxfId="284" priority="438" stopIfTrue="1" operator="notBetween">
      <formula>$AD$25</formula>
      <formula>$AD$26</formula>
    </cfRule>
  </conditionalFormatting>
  <conditionalFormatting sqref="AE15:AE17 AE9:AE12">
    <cfRule type="cellIs" dxfId="283" priority="437" stopIfTrue="1" operator="notBetween">
      <formula>$AE$25</formula>
      <formula>$AE$26</formula>
    </cfRule>
  </conditionalFormatting>
  <conditionalFormatting sqref="AF15:AF17 AF9:AF12">
    <cfRule type="cellIs" dxfId="282" priority="436" stopIfTrue="1" operator="notBetween">
      <formula>$AF$25</formula>
      <formula>$AF$26</formula>
    </cfRule>
  </conditionalFormatting>
  <conditionalFormatting sqref="AG15:AG17 AG9:AG12">
    <cfRule type="cellIs" dxfId="281" priority="435" stopIfTrue="1" operator="notBetween">
      <formula>$AG$25</formula>
      <formula>$AG$26</formula>
    </cfRule>
  </conditionalFormatting>
  <conditionalFormatting sqref="AH15:AH17 AH9:AH12">
    <cfRule type="cellIs" dxfId="280" priority="434" stopIfTrue="1" operator="notBetween">
      <formula>$AH$25</formula>
      <formula>$AH$26</formula>
    </cfRule>
  </conditionalFormatting>
  <conditionalFormatting sqref="AI15:AI17 AI9:AI12">
    <cfRule type="cellIs" dxfId="279" priority="433" stopIfTrue="1" operator="notBetween">
      <formula>$AI$25</formula>
      <formula>$AI$26</formula>
    </cfRule>
  </conditionalFormatting>
  <conditionalFormatting sqref="AJ15:AJ17 AJ9:AJ12">
    <cfRule type="cellIs" dxfId="278" priority="432" stopIfTrue="1" operator="notBetween">
      <formula>$AJ$25</formula>
      <formula>$AJ$26</formula>
    </cfRule>
  </conditionalFormatting>
  <conditionalFormatting sqref="AK15:AK17 AK9:AK12">
    <cfRule type="cellIs" dxfId="277" priority="431" stopIfTrue="1" operator="notBetween">
      <formula>$AK$25</formula>
      <formula>$AK$26</formula>
    </cfRule>
  </conditionalFormatting>
  <conditionalFormatting sqref="AL15:AL17 AL9:AL12">
    <cfRule type="cellIs" dxfId="276" priority="430" stopIfTrue="1" operator="notBetween">
      <formula>$AL$25</formula>
      <formula>$AL$26</formula>
    </cfRule>
  </conditionalFormatting>
  <conditionalFormatting sqref="AM15:AM17 AM9:AM12">
    <cfRule type="cellIs" dxfId="275" priority="429" stopIfTrue="1" operator="notBetween">
      <formula>$AM$25</formula>
      <formula>$AM$26</formula>
    </cfRule>
  </conditionalFormatting>
  <conditionalFormatting sqref="AN15:AN17 AN9:AN12">
    <cfRule type="cellIs" dxfId="274" priority="428" stopIfTrue="1" operator="notBetween">
      <formula>$AN$25</formula>
      <formula>$AN$26</formula>
    </cfRule>
  </conditionalFormatting>
  <conditionalFormatting sqref="AO9:AO12 AO14:AO18">
    <cfRule type="cellIs" dxfId="273" priority="690" stopIfTrue="1" operator="notBetween">
      <formula>$AO$25</formula>
      <formula>$AO$26</formula>
    </cfRule>
  </conditionalFormatting>
  <conditionalFormatting sqref="AP15:AP17 AP9:AP12">
    <cfRule type="cellIs" dxfId="272" priority="427" stopIfTrue="1" operator="notBetween">
      <formula>$AP$25</formula>
      <formula>$AP$26</formula>
    </cfRule>
  </conditionalFormatting>
  <conditionalFormatting sqref="AQ15:AQ17 AQ9:AQ12">
    <cfRule type="cellIs" dxfId="271" priority="426" stopIfTrue="1" operator="notBetween">
      <formula>$AQ$25</formula>
      <formula>$AQ$26</formula>
    </cfRule>
  </conditionalFormatting>
  <conditionalFormatting sqref="AR15:AR17 AR9:AR12">
    <cfRule type="cellIs" dxfId="270" priority="425" stopIfTrue="1" operator="notBetween">
      <formula>$AR$25</formula>
      <formula>$AR$26</formula>
    </cfRule>
  </conditionalFormatting>
  <conditionalFormatting sqref="AS15:AS17 AS9:AS12">
    <cfRule type="cellIs" dxfId="269" priority="424" stopIfTrue="1" operator="notBetween">
      <formula>$AS$25</formula>
      <formula>$AS$26</formula>
    </cfRule>
  </conditionalFormatting>
  <conditionalFormatting sqref="AT15:AT17 AT9:AT12">
    <cfRule type="cellIs" dxfId="268" priority="423" stopIfTrue="1" operator="notBetween">
      <formula>$AT$25</formula>
      <formula>$AT$26</formula>
    </cfRule>
  </conditionalFormatting>
  <conditionalFormatting sqref="AU15:AU17 AU9:AU12">
    <cfRule type="cellIs" dxfId="267" priority="23" stopIfTrue="1" operator="notBetween">
      <formula>$AU$25</formula>
      <formula>$AU$26</formula>
    </cfRule>
  </conditionalFormatting>
  <conditionalFormatting sqref="AV15:AV17 AV9:AV12">
    <cfRule type="cellIs" dxfId="266" priority="422" stopIfTrue="1" operator="notBetween">
      <formula>$AV$25</formula>
      <formula>$AV$26</formula>
    </cfRule>
  </conditionalFormatting>
  <conditionalFormatting sqref="AW9:AW12 AW14:AW17">
    <cfRule type="expression" dxfId="265" priority="4327" stopIfTrue="1">
      <formula>NOT(AND($AW9-ultimoDiaTrim&gt;=$AW$26,$AW9-ultimoDiaTrim&lt;=$AW$25))</formula>
    </cfRule>
  </conditionalFormatting>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dimension ref="A1:R5"/>
  <sheetViews>
    <sheetView zoomScale="85" zoomScaleNormal="85" workbookViewId="0"/>
  </sheetViews>
  <sheetFormatPr baseColWidth="10" defaultRowHeight="12.75"/>
  <cols>
    <col min="3" max="3" width="39.85546875" customWidth="1"/>
    <col min="4" max="4" width="49.7109375" customWidth="1"/>
    <col min="5" max="5" width="14.28515625" customWidth="1"/>
    <col min="6" max="6" width="16.85546875" customWidth="1"/>
    <col min="7" max="7" width="14.42578125" customWidth="1"/>
    <col min="8" max="8" width="15.140625" customWidth="1"/>
    <col min="9" max="9" width="15.85546875" customWidth="1"/>
    <col min="10" max="10" width="15.28515625" customWidth="1"/>
  </cols>
  <sheetData>
    <row r="1" spans="1:18" ht="108" customHeight="1">
      <c r="H1" s="622"/>
      <c r="I1" s="622"/>
      <c r="J1" s="622"/>
    </row>
    <row r="2" spans="1:18">
      <c r="A2" s="467"/>
      <c r="B2" s="467"/>
      <c r="C2" s="374"/>
      <c r="D2" s="374"/>
      <c r="E2" s="374"/>
      <c r="F2" s="374"/>
      <c r="G2" s="374"/>
      <c r="H2" s="623"/>
      <c r="I2" s="623"/>
      <c r="J2" s="623"/>
      <c r="K2" s="371"/>
      <c r="L2" s="371"/>
      <c r="M2" s="371"/>
      <c r="N2" s="371"/>
      <c r="O2" s="371"/>
      <c r="P2" s="371"/>
      <c r="Q2" s="371"/>
    </row>
    <row r="3" spans="1:18" s="628" customFormat="1" ht="18.75" thickBot="1">
      <c r="A3" s="624"/>
      <c r="B3" s="624"/>
      <c r="C3" s="625" t="s">
        <v>623</v>
      </c>
      <c r="D3" s="625"/>
      <c r="E3" s="625"/>
      <c r="F3" s="625"/>
      <c r="G3" s="625" t="str">
        <f xml:space="preserve"> "Año: " &amp; Año &amp; "  Trimestres " &amp; TrimIni &amp; " al " &amp; TrimFin</f>
        <v>Año: 2025  Trimestres 4 al 4</v>
      </c>
      <c r="H3" s="626"/>
      <c r="I3" s="626"/>
      <c r="J3" s="626"/>
      <c r="K3" s="627"/>
      <c r="L3" s="627"/>
      <c r="M3" s="627"/>
      <c r="N3" s="627"/>
      <c r="O3" s="627"/>
      <c r="P3" s="627"/>
      <c r="Q3" s="627"/>
    </row>
    <row r="4" spans="1:18" ht="42" customHeight="1" thickBot="1">
      <c r="A4" s="1542" t="s">
        <v>624</v>
      </c>
      <c r="B4" s="1542" t="s">
        <v>728</v>
      </c>
      <c r="C4" s="1542" t="s">
        <v>625</v>
      </c>
      <c r="D4" s="1542" t="s">
        <v>686</v>
      </c>
      <c r="E4" s="1544" t="s">
        <v>687</v>
      </c>
      <c r="F4" s="1542" t="s">
        <v>626</v>
      </c>
      <c r="G4" s="1544" t="s">
        <v>452</v>
      </c>
      <c r="H4" s="1537" t="s">
        <v>627</v>
      </c>
      <c r="I4" s="1537" t="s">
        <v>628</v>
      </c>
      <c r="J4" s="1537" t="s">
        <v>629</v>
      </c>
      <c r="K4" s="1539" t="s">
        <v>272</v>
      </c>
      <c r="L4" s="1540"/>
      <c r="M4" s="1540"/>
      <c r="N4" s="1541"/>
      <c r="O4" s="1539" t="s">
        <v>447</v>
      </c>
      <c r="P4" s="1540"/>
      <c r="Q4" s="1540"/>
      <c r="R4" s="1541"/>
    </row>
    <row r="5" spans="1:18" ht="27.75" customHeight="1" thickBot="1">
      <c r="A5" s="1543"/>
      <c r="B5" s="1543"/>
      <c r="C5" s="1543"/>
      <c r="D5" s="1543"/>
      <c r="E5" s="1543"/>
      <c r="F5" s="1543"/>
      <c r="G5" s="1543"/>
      <c r="H5" s="1538"/>
      <c r="I5" s="1538"/>
      <c r="J5" s="1538"/>
      <c r="K5" s="845" t="s">
        <v>448</v>
      </c>
      <c r="L5" s="845" t="s">
        <v>449</v>
      </c>
      <c r="M5" s="845" t="s">
        <v>450</v>
      </c>
      <c r="N5" s="845" t="s">
        <v>451</v>
      </c>
      <c r="O5" s="846" t="s">
        <v>448</v>
      </c>
      <c r="P5" s="845" t="s">
        <v>449</v>
      </c>
      <c r="Q5" s="845" t="s">
        <v>450</v>
      </c>
      <c r="R5" s="845" t="s">
        <v>451</v>
      </c>
    </row>
  </sheetData>
  <sheetProtection algorithmName="SHA-512" hashValue="+2TVrztTadsbDsE8Z4rHv7YYvPBDJMrOWRVrck+iGhFfk3g5SIPj8j+JIPK5oxYuWiGznWWmgd18QIf/xmkDwg==" saltValue="9hgnX8rWvvjfCG+MsviRSg==" spinCount="100000" sheet="1" objects="1" scenarios="1"/>
  <mergeCells count="12">
    <mergeCell ref="J4:J5"/>
    <mergeCell ref="K4:N4"/>
    <mergeCell ref="O4:R4"/>
    <mergeCell ref="I4:I5"/>
    <mergeCell ref="A4:A5"/>
    <mergeCell ref="C4:C5"/>
    <mergeCell ref="F4:F5"/>
    <mergeCell ref="G4:G5"/>
    <mergeCell ref="H4:H5"/>
    <mergeCell ref="D4:D5"/>
    <mergeCell ref="B4:B5"/>
    <mergeCell ref="E4:E5"/>
  </mergeCells>
  <pageMargins left="0.7" right="0.7" top="0.75" bottom="0.75" header="0.3" footer="0.3"/>
  <pageSetup paperSize="9" scale="30"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
  <dimension ref="A1:EZ27"/>
  <sheetViews>
    <sheetView topLeftCell="DZ1" zoomScale="85" zoomScaleNormal="85" workbookViewId="0">
      <selection activeCell="EZ9" sqref="EZ9"/>
    </sheetView>
  </sheetViews>
  <sheetFormatPr baseColWidth="10" defaultColWidth="11.42578125" defaultRowHeight="12.75"/>
  <cols>
    <col min="1" max="1" width="28.5703125" style="8" bestFit="1" customWidth="1"/>
    <col min="2" max="2" width="5.7109375" style="8" customWidth="1"/>
    <col min="3" max="3" width="5.28515625" style="32" customWidth="1"/>
    <col min="4" max="4" width="4" style="8" customWidth="1"/>
    <col min="5" max="5" width="4.42578125" style="8" customWidth="1"/>
    <col min="6" max="6" width="4.7109375" style="8" customWidth="1"/>
    <col min="7" max="7" width="5.140625" style="32" customWidth="1"/>
    <col min="8" max="8" width="19.140625" style="8" customWidth="1"/>
    <col min="9" max="9" width="9.42578125" style="8" customWidth="1"/>
    <col min="10" max="10" width="8.85546875" style="8" customWidth="1"/>
    <col min="11" max="11" width="8.5703125" style="8" customWidth="1"/>
    <col min="12" max="12" width="10.85546875" style="8" customWidth="1"/>
    <col min="13" max="13" width="9.140625" style="8" customWidth="1"/>
    <col min="14" max="15" width="9" style="8" customWidth="1"/>
    <col min="16" max="16" width="9.85546875" style="8" customWidth="1"/>
    <col min="17" max="17" width="8.28515625" style="8" customWidth="1"/>
    <col min="18" max="19" width="9.28515625" style="8" customWidth="1"/>
    <col min="20" max="20" width="9" style="8" customWidth="1"/>
    <col min="21" max="21" width="8.28515625" style="8" customWidth="1"/>
    <col min="22" max="22" width="10.42578125" style="8" customWidth="1"/>
    <col min="23" max="23" width="9.140625" style="8" customWidth="1"/>
    <col min="24" max="24" width="6.5703125" style="8" customWidth="1"/>
    <col min="25" max="25" width="10.140625" style="8" customWidth="1"/>
    <col min="26" max="26" width="9.42578125" style="8" customWidth="1"/>
    <col min="27" max="27" width="9.140625" style="8" customWidth="1"/>
    <col min="28" max="28" width="9.42578125" style="8" customWidth="1"/>
    <col min="29" max="30" width="6.5703125" style="8" customWidth="1"/>
    <col min="31" max="31" width="6.28515625" style="8" customWidth="1"/>
    <col min="32" max="32" width="6.5703125" style="8" customWidth="1"/>
    <col min="33" max="33" width="9.42578125" style="8" customWidth="1"/>
    <col min="34" max="34" width="10" style="8" customWidth="1"/>
    <col min="35" max="35" width="9.7109375" style="8" customWidth="1"/>
    <col min="36" max="37" width="9.42578125" style="8" customWidth="1"/>
    <col min="38" max="38" width="9" style="8" customWidth="1"/>
    <col min="39" max="39" width="8.28515625" style="8" customWidth="1"/>
    <col min="40" max="40" width="9.42578125" style="8" customWidth="1"/>
    <col min="41" max="42" width="11.42578125" style="8"/>
    <col min="43" max="43" width="12.7109375" style="8" bestFit="1" customWidth="1"/>
    <col min="44" max="44" width="12.7109375" style="8" customWidth="1"/>
    <col min="45" max="50" width="9.42578125" style="8" customWidth="1"/>
    <col min="51" max="51" width="12.7109375" style="8" customWidth="1"/>
    <col min="52" max="56" width="11.42578125" style="8"/>
    <col min="57" max="57" width="12.28515625" style="8" bestFit="1" customWidth="1"/>
    <col min="58" max="61" width="11.42578125" style="8"/>
    <col min="62" max="62" width="9.42578125" style="8" customWidth="1"/>
    <col min="63" max="63" width="12.7109375" style="8" bestFit="1" customWidth="1"/>
    <col min="64" max="64" width="12.7109375" style="8" customWidth="1"/>
    <col min="65" max="65" width="12.7109375" style="8" bestFit="1" customWidth="1"/>
    <col min="66" max="74" width="12.7109375" style="8" customWidth="1"/>
    <col min="75" max="91" width="11.42578125" style="8"/>
    <col min="92" max="92" width="13.140625" style="8" customWidth="1"/>
    <col min="93" max="96" width="13" style="8" customWidth="1"/>
    <col min="97" max="100" width="12" style="8" customWidth="1"/>
    <col min="101" max="105" width="11.42578125" style="8"/>
    <col min="106" max="107" width="9.42578125" style="8" customWidth="1"/>
    <col min="108" max="114" width="11.42578125" style="8"/>
    <col min="115" max="115" width="12.28515625" style="8" customWidth="1"/>
    <col min="116" max="116" width="12.85546875" style="8" customWidth="1"/>
    <col min="117" max="141" width="11.42578125" style="8"/>
    <col min="142" max="144" width="11.42578125" style="639"/>
    <col min="145" max="149" width="11.42578125" style="8"/>
    <col min="150" max="151" width="11.42578125" style="639"/>
    <col min="152" max="153" width="11.42578125" style="636"/>
    <col min="154" max="16384" width="11.42578125" style="8"/>
  </cols>
  <sheetData>
    <row r="1" spans="1:156" ht="13.5" thickBot="1">
      <c r="H1" s="279" t="s">
        <v>398</v>
      </c>
      <c r="I1" s="50" t="s">
        <v>56</v>
      </c>
      <c r="J1" s="31" t="s">
        <v>47</v>
      </c>
      <c r="K1" s="30" t="s">
        <v>57</v>
      </c>
      <c r="L1" s="50" t="s">
        <v>58</v>
      </c>
      <c r="M1" s="31" t="s">
        <v>59</v>
      </c>
      <c r="N1" s="30" t="s">
        <v>60</v>
      </c>
      <c r="O1" s="50" t="s">
        <v>61</v>
      </c>
      <c r="P1" s="31" t="s">
        <v>62</v>
      </c>
      <c r="Q1" s="30" t="s">
        <v>63</v>
      </c>
      <c r="R1" s="50" t="s">
        <v>64</v>
      </c>
      <c r="S1" s="31" t="s">
        <v>65</v>
      </c>
      <c r="T1" s="30" t="s">
        <v>66</v>
      </c>
      <c r="U1" s="50" t="s">
        <v>67</v>
      </c>
      <c r="V1" s="31" t="s">
        <v>68</v>
      </c>
      <c r="W1" s="30" t="s">
        <v>69</v>
      </c>
      <c r="X1" s="50" t="s">
        <v>70</v>
      </c>
      <c r="Y1" s="31" t="s">
        <v>71</v>
      </c>
      <c r="Z1" s="30" t="s">
        <v>72</v>
      </c>
      <c r="AA1" s="50" t="s">
        <v>73</v>
      </c>
      <c r="AB1" s="31" t="s">
        <v>74</v>
      </c>
      <c r="AC1" s="30" t="s">
        <v>75</v>
      </c>
      <c r="AD1" s="50" t="s">
        <v>76</v>
      </c>
      <c r="AE1" s="31" t="s">
        <v>77</v>
      </c>
      <c r="AF1" s="30" t="s">
        <v>78</v>
      </c>
      <c r="AG1" s="50" t="s">
        <v>79</v>
      </c>
      <c r="AH1" s="31" t="s">
        <v>46</v>
      </c>
      <c r="AI1" s="30" t="s">
        <v>80</v>
      </c>
      <c r="AJ1" s="50" t="s">
        <v>81</v>
      </c>
      <c r="AK1" s="31" t="s">
        <v>82</v>
      </c>
      <c r="AL1" s="30" t="s">
        <v>83</v>
      </c>
      <c r="AM1" s="50" t="s">
        <v>84</v>
      </c>
      <c r="AN1" s="31" t="s">
        <v>158</v>
      </c>
      <c r="AO1" s="30" t="s">
        <v>85</v>
      </c>
      <c r="AP1" s="50" t="s">
        <v>88</v>
      </c>
      <c r="AQ1" s="31" t="s">
        <v>103</v>
      </c>
      <c r="AR1" s="30" t="s">
        <v>104</v>
      </c>
      <c r="AS1" s="50" t="s">
        <v>105</v>
      </c>
      <c r="AT1" s="31" t="s">
        <v>106</v>
      </c>
      <c r="AU1" s="30" t="s">
        <v>110</v>
      </c>
      <c r="AV1" s="50" t="s">
        <v>111</v>
      </c>
      <c r="AW1" s="31" t="s">
        <v>112</v>
      </c>
      <c r="AX1" s="30" t="s">
        <v>113</v>
      </c>
      <c r="AY1" s="50" t="s">
        <v>114</v>
      </c>
      <c r="AZ1" s="31" t="s">
        <v>130</v>
      </c>
      <c r="BA1" s="30" t="s">
        <v>138</v>
      </c>
      <c r="BB1" s="50" t="s">
        <v>149</v>
      </c>
      <c r="BC1" s="31" t="s">
        <v>217</v>
      </c>
      <c r="BD1" s="30" t="s">
        <v>153</v>
      </c>
      <c r="BE1" s="50" t="s">
        <v>156</v>
      </c>
      <c r="BF1" s="31" t="s">
        <v>157</v>
      </c>
      <c r="BG1" s="30" t="s">
        <v>212</v>
      </c>
      <c r="BH1" s="50" t="s">
        <v>213</v>
      </c>
      <c r="BI1" s="31" t="s">
        <v>220</v>
      </c>
      <c r="BJ1" s="30" t="s">
        <v>231</v>
      </c>
      <c r="BK1" s="50" t="s">
        <v>234</v>
      </c>
      <c r="BL1" s="31" t="s">
        <v>235</v>
      </c>
      <c r="BM1" s="30" t="s">
        <v>240</v>
      </c>
      <c r="BN1" s="50" t="s">
        <v>256</v>
      </c>
      <c r="BO1" s="31" t="s">
        <v>257</v>
      </c>
      <c r="BP1" s="30" t="s">
        <v>258</v>
      </c>
      <c r="BQ1" s="50" t="s">
        <v>260</v>
      </c>
      <c r="BR1" s="31" t="s">
        <v>266</v>
      </c>
      <c r="BS1" s="30" t="s">
        <v>267</v>
      </c>
      <c r="BT1" s="50" t="s">
        <v>268</v>
      </c>
      <c r="BU1" s="31" t="s">
        <v>282</v>
      </c>
      <c r="BV1" s="30" t="s">
        <v>283</v>
      </c>
      <c r="BW1" s="50" t="s">
        <v>284</v>
      </c>
      <c r="BX1" s="31" t="s">
        <v>289</v>
      </c>
      <c r="BY1" s="30" t="s">
        <v>291</v>
      </c>
      <c r="BZ1" s="50" t="s">
        <v>296</v>
      </c>
      <c r="CA1" s="31" t="s">
        <v>297</v>
      </c>
      <c r="CB1" s="30" t="s">
        <v>350</v>
      </c>
      <c r="CC1" s="50" t="s">
        <v>352</v>
      </c>
      <c r="CD1" s="31" t="s">
        <v>354</v>
      </c>
      <c r="CE1" s="30" t="s">
        <v>364</v>
      </c>
      <c r="CF1" s="50" t="s">
        <v>365</v>
      </c>
      <c r="CG1" s="31" t="s">
        <v>366</v>
      </c>
      <c r="CH1" s="30" t="s">
        <v>367</v>
      </c>
      <c r="CI1" s="50" t="s">
        <v>390</v>
      </c>
      <c r="CJ1" s="31" t="s">
        <v>392</v>
      </c>
      <c r="CK1" s="30" t="s">
        <v>230</v>
      </c>
      <c r="CL1" s="50" t="s">
        <v>316</v>
      </c>
      <c r="CM1" s="31" t="s">
        <v>319</v>
      </c>
      <c r="CN1" s="30" t="s">
        <v>334</v>
      </c>
      <c r="CO1" s="50" t="s">
        <v>335</v>
      </c>
      <c r="CP1" s="31" t="s">
        <v>344</v>
      </c>
      <c r="CQ1" s="30" t="s">
        <v>345</v>
      </c>
      <c r="CR1" s="31" t="s">
        <v>346</v>
      </c>
      <c r="CS1" s="30" t="s">
        <v>167</v>
      </c>
      <c r="CT1" s="31" t="s">
        <v>186</v>
      </c>
      <c r="CU1" s="30" t="s">
        <v>187</v>
      </c>
      <c r="CV1" s="31" t="s">
        <v>188</v>
      </c>
      <c r="CW1" s="30" t="s">
        <v>189</v>
      </c>
      <c r="CX1" s="31" t="s">
        <v>190</v>
      </c>
      <c r="CY1" s="30" t="s">
        <v>191</v>
      </c>
      <c r="CZ1" s="31" t="s">
        <v>192</v>
      </c>
      <c r="DA1" s="30" t="s">
        <v>193</v>
      </c>
      <c r="DB1" s="31" t="s">
        <v>194</v>
      </c>
      <c r="DC1" s="30" t="s">
        <v>198</v>
      </c>
      <c r="DD1" s="31" t="s">
        <v>199</v>
      </c>
      <c r="DE1" s="30" t="s">
        <v>408</v>
      </c>
      <c r="DF1" s="31" t="s">
        <v>43</v>
      </c>
      <c r="DG1" s="30" t="s">
        <v>446</v>
      </c>
      <c r="DM1" s="30"/>
      <c r="DN1" s="30"/>
      <c r="DO1" s="30"/>
      <c r="DP1" s="30"/>
      <c r="DQ1" s="30"/>
      <c r="DR1" s="30"/>
      <c r="DS1" s="30"/>
      <c r="DT1" s="30"/>
      <c r="DU1" s="472"/>
      <c r="DV1" s="30"/>
      <c r="DW1" s="30"/>
      <c r="DX1" s="30"/>
      <c r="DY1" s="30"/>
      <c r="DZ1" s="30"/>
      <c r="EA1" s="30"/>
    </row>
    <row r="2" spans="1:156">
      <c r="A2" s="95">
        <f>Criterios!C8</f>
        <v>0</v>
      </c>
      <c r="B2">
        <f>Criterios!B8</f>
        <v>0</v>
      </c>
    </row>
    <row r="3" spans="1:156" ht="13.5" thickBot="1">
      <c r="A3" t="str">
        <f>Criterios!A9</f>
        <v>Tribunales de Justicia</v>
      </c>
      <c r="B3" t="str">
        <f>Criterios!B9</f>
        <v>CATALUÑA</v>
      </c>
    </row>
    <row r="4" spans="1:156" ht="13.5" thickBot="1">
      <c r="A4" t="str">
        <f>Criterios!A10</f>
        <v>Provincias</v>
      </c>
      <c r="B4" t="str">
        <f>Criterios!B10</f>
        <v>BARCELONA</v>
      </c>
      <c r="CE4" s="1393" t="s">
        <v>273</v>
      </c>
      <c r="CF4" s="1394"/>
      <c r="CG4" s="1394"/>
      <c r="CH4" s="1395"/>
    </row>
    <row r="5" spans="1:156" ht="12.75" customHeight="1" thickBot="1">
      <c r="A5" s="1426" t="str">
        <f>"Año:  " &amp;Criterios!B5 &amp; "                  Trimestre   " &amp;Criterios!D5 &amp; " al " &amp;Criterios!D6</f>
        <v>Año:  2025                  Trimestre   4 al 4</v>
      </c>
      <c r="B5" s="1428" t="s">
        <v>399</v>
      </c>
      <c r="C5" s="1431" t="s">
        <v>33</v>
      </c>
      <c r="D5" s="1437" t="s">
        <v>24</v>
      </c>
      <c r="E5" s="1438"/>
      <c r="F5" s="1438"/>
      <c r="G5" s="1438"/>
      <c r="H5" s="1439"/>
      <c r="I5" s="1443" t="s">
        <v>52</v>
      </c>
      <c r="J5" s="1444"/>
      <c r="K5" s="1444"/>
      <c r="L5" s="1444"/>
      <c r="M5" s="1444"/>
      <c r="N5" s="1444"/>
      <c r="O5" s="1444"/>
      <c r="P5" s="1444"/>
      <c r="Q5" s="1444"/>
      <c r="R5" s="1444"/>
      <c r="S5" s="1444"/>
      <c r="T5" s="1444"/>
      <c r="U5" s="1444"/>
      <c r="V5" s="1444"/>
      <c r="W5" s="1444"/>
      <c r="X5" s="1444"/>
      <c r="Y5" s="1444"/>
      <c r="Z5" s="1444"/>
      <c r="AA5" s="1444"/>
      <c r="AB5" s="1444"/>
      <c r="AC5" s="1444"/>
      <c r="AD5" s="1444"/>
      <c r="AE5" s="1444"/>
      <c r="AF5" s="1444"/>
      <c r="AG5" s="1444"/>
      <c r="AH5" s="1444"/>
      <c r="AI5" s="1444"/>
      <c r="AJ5" s="1444"/>
      <c r="AK5" s="1444"/>
      <c r="AL5" s="1444"/>
      <c r="AM5" s="1444"/>
      <c r="AN5" s="1444"/>
      <c r="AO5" s="1399" t="s">
        <v>131</v>
      </c>
      <c r="AP5" s="1399" t="s">
        <v>132</v>
      </c>
      <c r="AQ5" s="1399" t="s">
        <v>89</v>
      </c>
      <c r="AR5" s="1399" t="s">
        <v>133</v>
      </c>
      <c r="AS5" s="1411" t="s">
        <v>154</v>
      </c>
      <c r="AT5" s="1411" t="s">
        <v>155</v>
      </c>
      <c r="AU5" s="1411" t="s">
        <v>238</v>
      </c>
      <c r="AV5" s="1411" t="s">
        <v>236</v>
      </c>
      <c r="AW5" s="1411" t="s">
        <v>239</v>
      </c>
      <c r="AX5" s="1411" t="s">
        <v>237</v>
      </c>
      <c r="AY5" s="1405" t="s">
        <v>108</v>
      </c>
      <c r="AZ5" s="1465"/>
      <c r="BA5" s="1465"/>
      <c r="BB5" s="1465"/>
      <c r="BC5" s="1466"/>
      <c r="BD5" s="1405" t="s">
        <v>109</v>
      </c>
      <c r="BE5" s="1406"/>
      <c r="BF5" s="1406"/>
      <c r="BG5" s="1407"/>
      <c r="BH5" s="1399" t="s">
        <v>147</v>
      </c>
      <c r="BI5" s="1399" t="s">
        <v>148</v>
      </c>
      <c r="BJ5" s="1462" t="s">
        <v>211</v>
      </c>
      <c r="BK5" s="1416" t="s">
        <v>214</v>
      </c>
      <c r="BL5" s="1416" t="s">
        <v>221</v>
      </c>
      <c r="BM5" s="1459" t="s">
        <v>317</v>
      </c>
      <c r="BN5" s="1246" t="s">
        <v>201</v>
      </c>
      <c r="BO5" s="1247"/>
      <c r="BP5" s="1246" t="s">
        <v>202</v>
      </c>
      <c r="BQ5" s="1247"/>
      <c r="BR5" s="1246" t="s">
        <v>203</v>
      </c>
      <c r="BS5" s="1247"/>
      <c r="BT5" s="1246" t="s">
        <v>204</v>
      </c>
      <c r="BU5" s="1247"/>
      <c r="BV5" s="1413" t="s">
        <v>272</v>
      </c>
      <c r="BW5" s="1419" t="s">
        <v>252</v>
      </c>
      <c r="BX5" s="1419" t="s">
        <v>253</v>
      </c>
      <c r="BY5" s="1402" t="s">
        <v>259</v>
      </c>
      <c r="BZ5" s="1402" t="s">
        <v>349</v>
      </c>
      <c r="CA5" s="1422" t="s">
        <v>288</v>
      </c>
      <c r="CB5" s="1422" t="s">
        <v>279</v>
      </c>
      <c r="CC5" s="1422" t="s">
        <v>280</v>
      </c>
      <c r="CD5" s="1422" t="s">
        <v>281</v>
      </c>
      <c r="CE5" s="1396" t="s">
        <v>292</v>
      </c>
      <c r="CF5" s="1396" t="s">
        <v>271</v>
      </c>
      <c r="CG5" s="1396" t="s">
        <v>269</v>
      </c>
      <c r="CH5" s="1396" t="s">
        <v>270</v>
      </c>
      <c r="CI5" s="1476" t="s">
        <v>294</v>
      </c>
      <c r="CJ5" s="1476" t="s">
        <v>295</v>
      </c>
      <c r="CK5" s="1383" t="s">
        <v>425</v>
      </c>
      <c r="CL5" s="1383" t="s">
        <v>426</v>
      </c>
      <c r="CM5" s="1383" t="s">
        <v>443</v>
      </c>
      <c r="CN5" s="1423" t="s">
        <v>370</v>
      </c>
      <c r="CO5" s="1423" t="s">
        <v>363</v>
      </c>
      <c r="CP5" s="1423" t="s">
        <v>369</v>
      </c>
      <c r="CQ5" s="1456" t="s">
        <v>368</v>
      </c>
      <c r="CR5" s="1456" t="s">
        <v>368</v>
      </c>
      <c r="CS5" s="1396" t="s">
        <v>388</v>
      </c>
      <c r="CT5" s="1396" t="s">
        <v>391</v>
      </c>
      <c r="CU5" s="1396" t="s">
        <v>229</v>
      </c>
      <c r="CV5" s="1396" t="s">
        <v>313</v>
      </c>
      <c r="CW5" s="1396" t="s">
        <v>333</v>
      </c>
      <c r="CX5" s="1396" t="s">
        <v>340</v>
      </c>
      <c r="CY5" s="1396" t="s">
        <v>436</v>
      </c>
      <c r="CZ5" s="1396" t="s">
        <v>437</v>
      </c>
      <c r="DA5" s="1396" t="s">
        <v>438</v>
      </c>
      <c r="DB5" s="1371" t="s">
        <v>195</v>
      </c>
      <c r="DC5" s="1371" t="s">
        <v>196</v>
      </c>
      <c r="DD5" s="1371" t="s">
        <v>197</v>
      </c>
      <c r="DE5" s="1387" t="s">
        <v>168</v>
      </c>
      <c r="DF5" s="1387" t="s">
        <v>407</v>
      </c>
      <c r="DG5" s="1396" t="s">
        <v>444</v>
      </c>
      <c r="DH5" s="1383" t="s">
        <v>425</v>
      </c>
      <c r="DI5" s="1383" t="s">
        <v>426</v>
      </c>
      <c r="DJ5" s="1383" t="s">
        <v>442</v>
      </c>
      <c r="DK5" s="1383" t="s">
        <v>476</v>
      </c>
      <c r="DL5" s="1383" t="s">
        <v>480</v>
      </c>
      <c r="DM5" s="1386" t="s">
        <v>525</v>
      </c>
      <c r="DN5" s="1386" t="s">
        <v>526</v>
      </c>
      <c r="DO5" s="1386" t="s">
        <v>527</v>
      </c>
      <c r="DP5" s="1386" t="s">
        <v>528</v>
      </c>
      <c r="DQ5" s="1386" t="s">
        <v>529</v>
      </c>
      <c r="DR5" s="1386" t="s">
        <v>530</v>
      </c>
      <c r="DS5" s="1386" t="s">
        <v>531</v>
      </c>
      <c r="DT5" s="1386" t="s">
        <v>532</v>
      </c>
      <c r="DU5" s="1365" t="s">
        <v>533</v>
      </c>
      <c r="DV5" s="1365" t="s">
        <v>534</v>
      </c>
      <c r="DW5" s="1362" t="s">
        <v>535</v>
      </c>
      <c r="DX5" s="1386" t="s">
        <v>536</v>
      </c>
      <c r="DY5" s="1359" t="s">
        <v>537</v>
      </c>
      <c r="DZ5" s="1362" t="s">
        <v>538</v>
      </c>
      <c r="EA5" s="1359" t="s">
        <v>539</v>
      </c>
      <c r="EB5" s="1390" t="s">
        <v>583</v>
      </c>
      <c r="EC5" s="1390" t="s">
        <v>584</v>
      </c>
      <c r="ED5" s="1390" t="s">
        <v>585</v>
      </c>
      <c r="EE5" s="1390" t="s">
        <v>618</v>
      </c>
      <c r="EF5" s="1390" t="s">
        <v>622</v>
      </c>
      <c r="EG5" s="1359" t="s">
        <v>620</v>
      </c>
      <c r="EH5" s="1359" t="s">
        <v>621</v>
      </c>
      <c r="EI5" s="1359" t="s">
        <v>587</v>
      </c>
      <c r="EJ5" s="1359" t="s">
        <v>588</v>
      </c>
      <c r="EK5" s="1374" t="s">
        <v>665</v>
      </c>
      <c r="EL5" s="1377" t="s">
        <v>681</v>
      </c>
      <c r="EM5" s="1378"/>
      <c r="EN5" s="1379"/>
      <c r="EO5" s="1371" t="s">
        <v>737</v>
      </c>
      <c r="EP5" s="1371" t="s">
        <v>739</v>
      </c>
      <c r="EQ5" s="1371" t="s">
        <v>740</v>
      </c>
      <c r="ER5" s="1371" t="s">
        <v>748</v>
      </c>
      <c r="ES5" s="1371" t="s">
        <v>750</v>
      </c>
      <c r="ET5" s="1368" t="s">
        <v>810</v>
      </c>
      <c r="EU5" s="1368" t="s">
        <v>811</v>
      </c>
      <c r="EV5" s="1482" t="s">
        <v>827</v>
      </c>
      <c r="EW5" s="1482" t="s">
        <v>832</v>
      </c>
      <c r="EX5" s="1479" t="s">
        <v>844</v>
      </c>
      <c r="EY5" s="1473" t="s">
        <v>849</v>
      </c>
      <c r="EZ5" s="1470" t="s">
        <v>893</v>
      </c>
    </row>
    <row r="6" spans="1:156" ht="24.75" customHeight="1" thickBot="1">
      <c r="A6" s="1427"/>
      <c r="B6" s="1429"/>
      <c r="C6" s="1432"/>
      <c r="D6" s="1440"/>
      <c r="E6" s="1441"/>
      <c r="F6" s="1441"/>
      <c r="G6" s="1441"/>
      <c r="H6" s="1442"/>
      <c r="I6" s="1445" t="s">
        <v>5</v>
      </c>
      <c r="J6" s="1446"/>
      <c r="K6" s="1446"/>
      <c r="L6" s="1446"/>
      <c r="M6" s="1446"/>
      <c r="N6" s="1446"/>
      <c r="O6" s="1447"/>
      <c r="P6" s="1434" t="s">
        <v>15</v>
      </c>
      <c r="Q6" s="1435"/>
      <c r="R6" s="1436"/>
      <c r="S6" s="1445" t="s">
        <v>107</v>
      </c>
      <c r="T6" s="1446"/>
      <c r="U6" s="1446"/>
      <c r="V6" s="1446"/>
      <c r="W6" s="1448"/>
      <c r="X6" s="1449"/>
      <c r="Y6" s="1450" t="s">
        <v>30</v>
      </c>
      <c r="Z6" s="1451"/>
      <c r="AA6" s="1451"/>
      <c r="AB6" s="1452"/>
      <c r="AC6" s="1450" t="s">
        <v>31</v>
      </c>
      <c r="AD6" s="1451"/>
      <c r="AE6" s="1451"/>
      <c r="AF6" s="1455"/>
      <c r="AG6" s="1434" t="s">
        <v>53</v>
      </c>
      <c r="AH6" s="1435"/>
      <c r="AI6" s="1435"/>
      <c r="AJ6" s="1436"/>
      <c r="AK6" s="1453" t="s">
        <v>54</v>
      </c>
      <c r="AL6" s="1435"/>
      <c r="AM6" s="1435"/>
      <c r="AN6" s="1454"/>
      <c r="AO6" s="1400"/>
      <c r="AP6" s="1400"/>
      <c r="AQ6" s="1400"/>
      <c r="AR6" s="1400"/>
      <c r="AS6" s="1372"/>
      <c r="AT6" s="1372"/>
      <c r="AU6" s="1372"/>
      <c r="AV6" s="1372"/>
      <c r="AW6" s="1372"/>
      <c r="AX6" s="1372"/>
      <c r="AY6" s="1467"/>
      <c r="AZ6" s="1468"/>
      <c r="BA6" s="1468"/>
      <c r="BB6" s="1468"/>
      <c r="BC6" s="1469"/>
      <c r="BD6" s="1408"/>
      <c r="BE6" s="1409"/>
      <c r="BF6" s="1409"/>
      <c r="BG6" s="1410"/>
      <c r="BH6" s="1400"/>
      <c r="BI6" s="1400"/>
      <c r="BJ6" s="1463"/>
      <c r="BK6" s="1417"/>
      <c r="BL6" s="1417"/>
      <c r="BM6" s="1460"/>
      <c r="BN6" s="1244" t="s">
        <v>161</v>
      </c>
      <c r="BO6" s="1244" t="s">
        <v>162</v>
      </c>
      <c r="BP6" s="1244" t="s">
        <v>161</v>
      </c>
      <c r="BQ6" s="1244" t="s">
        <v>162</v>
      </c>
      <c r="BR6" s="1244" t="s">
        <v>161</v>
      </c>
      <c r="BS6" s="1244" t="s">
        <v>162</v>
      </c>
      <c r="BT6" s="1244" t="s">
        <v>161</v>
      </c>
      <c r="BU6" s="1244" t="s">
        <v>162</v>
      </c>
      <c r="BV6" s="1414"/>
      <c r="BW6" s="1420"/>
      <c r="BX6" s="1420"/>
      <c r="BY6" s="1403"/>
      <c r="BZ6" s="1403"/>
      <c r="CA6" s="1397"/>
      <c r="CB6" s="1397"/>
      <c r="CC6" s="1397"/>
      <c r="CD6" s="1397"/>
      <c r="CE6" s="1397"/>
      <c r="CF6" s="1397"/>
      <c r="CG6" s="1397"/>
      <c r="CH6" s="1397"/>
      <c r="CI6" s="1477"/>
      <c r="CJ6" s="1477"/>
      <c r="CK6" s="1384"/>
      <c r="CL6" s="1384"/>
      <c r="CM6" s="1384"/>
      <c r="CN6" s="1424"/>
      <c r="CO6" s="1424"/>
      <c r="CP6" s="1424"/>
      <c r="CQ6" s="1457"/>
      <c r="CR6" s="1457"/>
      <c r="CS6" s="1397"/>
      <c r="CT6" s="1397"/>
      <c r="CU6" s="1397"/>
      <c r="CV6" s="1397"/>
      <c r="CW6" s="1397"/>
      <c r="CX6" s="1397"/>
      <c r="CY6" s="1397"/>
      <c r="CZ6" s="1397"/>
      <c r="DA6" s="1397"/>
      <c r="DB6" s="1372"/>
      <c r="DC6" s="1372"/>
      <c r="DD6" s="1372"/>
      <c r="DE6" s="1388"/>
      <c r="DF6" s="1388"/>
      <c r="DG6" s="1397"/>
      <c r="DH6" s="1384"/>
      <c r="DI6" s="1384"/>
      <c r="DJ6" s="1384"/>
      <c r="DK6" s="1384"/>
      <c r="DL6" s="1384"/>
      <c r="DM6" s="1293"/>
      <c r="DN6" s="1293"/>
      <c r="DO6" s="1293"/>
      <c r="DP6" s="1293"/>
      <c r="DQ6" s="1293"/>
      <c r="DR6" s="1293"/>
      <c r="DS6" s="1293"/>
      <c r="DT6" s="1293"/>
      <c r="DU6" s="1366"/>
      <c r="DV6" s="1366"/>
      <c r="DW6" s="1363"/>
      <c r="DX6" s="1293"/>
      <c r="DY6" s="1360"/>
      <c r="DZ6" s="1363"/>
      <c r="EA6" s="1360"/>
      <c r="EB6" s="1391"/>
      <c r="EC6" s="1391"/>
      <c r="ED6" s="1391"/>
      <c r="EE6" s="1391"/>
      <c r="EF6" s="1391"/>
      <c r="EG6" s="1360"/>
      <c r="EH6" s="1360"/>
      <c r="EI6" s="1360"/>
      <c r="EJ6" s="1360"/>
      <c r="EK6" s="1375"/>
      <c r="EL6" s="1380"/>
      <c r="EM6" s="1381"/>
      <c r="EN6" s="1382"/>
      <c r="EO6" s="1372"/>
      <c r="EP6" s="1372"/>
      <c r="EQ6" s="1372"/>
      <c r="ER6" s="1372"/>
      <c r="ES6" s="1372"/>
      <c r="ET6" s="1369"/>
      <c r="EU6" s="1369"/>
      <c r="EV6" s="1483"/>
      <c r="EW6" s="1483"/>
      <c r="EX6" s="1480"/>
      <c r="EY6" s="1474"/>
      <c r="EZ6" s="1471"/>
    </row>
    <row r="7" spans="1:156" ht="87" customHeight="1" thickBot="1">
      <c r="A7" s="69" t="s">
        <v>736</v>
      </c>
      <c r="B7" s="1430"/>
      <c r="C7" s="1433"/>
      <c r="D7" s="66" t="s">
        <v>400</v>
      </c>
      <c r="E7" s="67" t="s">
        <v>126</v>
      </c>
      <c r="F7" s="67" t="s">
        <v>125</v>
      </c>
      <c r="G7" s="121" t="s">
        <v>35</v>
      </c>
      <c r="H7" s="122" t="s">
        <v>401</v>
      </c>
      <c r="I7" s="9" t="s">
        <v>18</v>
      </c>
      <c r="J7" s="10" t="s">
        <v>13</v>
      </c>
      <c r="K7" s="10" t="s">
        <v>9</v>
      </c>
      <c r="L7" s="11" t="s">
        <v>19</v>
      </c>
      <c r="M7" s="9" t="s">
        <v>7</v>
      </c>
      <c r="N7" s="10" t="s">
        <v>8</v>
      </c>
      <c r="O7" s="158" t="s">
        <v>223</v>
      </c>
      <c r="P7" s="9" t="s">
        <v>10</v>
      </c>
      <c r="Q7" s="10" t="s">
        <v>16</v>
      </c>
      <c r="R7" s="12" t="s">
        <v>17</v>
      </c>
      <c r="S7" s="9" t="s">
        <v>18</v>
      </c>
      <c r="T7" s="56" t="s">
        <v>13</v>
      </c>
      <c r="U7" s="10" t="s">
        <v>9</v>
      </c>
      <c r="V7" s="11" t="s">
        <v>23</v>
      </c>
      <c r="W7" s="53" t="s">
        <v>7</v>
      </c>
      <c r="X7" s="55" t="s">
        <v>8</v>
      </c>
      <c r="Y7" s="53" t="s">
        <v>18</v>
      </c>
      <c r="Z7" s="54" t="s">
        <v>13</v>
      </c>
      <c r="AA7" s="54" t="s">
        <v>9</v>
      </c>
      <c r="AB7" s="55" t="s">
        <v>19</v>
      </c>
      <c r="AC7" s="53" t="s">
        <v>18</v>
      </c>
      <c r="AD7" s="54" t="s">
        <v>13</v>
      </c>
      <c r="AE7" s="54" t="s">
        <v>9</v>
      </c>
      <c r="AF7" s="96" t="s">
        <v>19</v>
      </c>
      <c r="AG7" s="9" t="s">
        <v>18</v>
      </c>
      <c r="AH7" s="10" t="s">
        <v>13</v>
      </c>
      <c r="AI7" s="10" t="s">
        <v>9</v>
      </c>
      <c r="AJ7" s="12" t="s">
        <v>19</v>
      </c>
      <c r="AK7" s="56" t="s">
        <v>18</v>
      </c>
      <c r="AL7" s="10" t="s">
        <v>13</v>
      </c>
      <c r="AM7" s="10" t="s">
        <v>9</v>
      </c>
      <c r="AN7" s="11" t="s">
        <v>19</v>
      </c>
      <c r="AO7" s="1401"/>
      <c r="AP7" s="1401"/>
      <c r="AQ7" s="1401"/>
      <c r="AR7" s="1401"/>
      <c r="AS7" s="1373"/>
      <c r="AT7" s="1412"/>
      <c r="AU7" s="1412"/>
      <c r="AV7" s="1412"/>
      <c r="AW7" s="1412"/>
      <c r="AX7" s="1412"/>
      <c r="AY7" s="97" t="s">
        <v>18</v>
      </c>
      <c r="AZ7" s="98" t="s">
        <v>13</v>
      </c>
      <c r="BA7" s="98" t="s">
        <v>9</v>
      </c>
      <c r="BB7" s="98" t="s">
        <v>23</v>
      </c>
      <c r="BC7" s="99" t="s">
        <v>7</v>
      </c>
      <c r="BD7" s="97" t="s">
        <v>9</v>
      </c>
      <c r="BE7" s="98" t="s">
        <v>17</v>
      </c>
      <c r="BF7" s="98" t="s">
        <v>97</v>
      </c>
      <c r="BG7" s="99" t="s">
        <v>98</v>
      </c>
      <c r="BH7" s="1401"/>
      <c r="BI7" s="1401"/>
      <c r="BJ7" s="1464"/>
      <c r="BK7" s="1418"/>
      <c r="BL7" s="1418"/>
      <c r="BM7" s="1461"/>
      <c r="BN7" s="1245"/>
      <c r="BO7" s="1245"/>
      <c r="BP7" s="1245"/>
      <c r="BQ7" s="1245"/>
      <c r="BR7" s="1245"/>
      <c r="BS7" s="1245"/>
      <c r="BT7" s="1245"/>
      <c r="BU7" s="1245"/>
      <c r="BV7" s="1415"/>
      <c r="BW7" s="1421"/>
      <c r="BX7" s="1421"/>
      <c r="BY7" s="1404"/>
      <c r="BZ7" s="1404"/>
      <c r="CA7" s="1398"/>
      <c r="CB7" s="1398"/>
      <c r="CC7" s="1398"/>
      <c r="CD7" s="1398"/>
      <c r="CE7" s="1398"/>
      <c r="CF7" s="1398"/>
      <c r="CG7" s="1398"/>
      <c r="CH7" s="1398"/>
      <c r="CI7" s="1478"/>
      <c r="CJ7" s="1478"/>
      <c r="CK7" s="1385"/>
      <c r="CL7" s="1385"/>
      <c r="CM7" s="1385"/>
      <c r="CN7" s="1425"/>
      <c r="CO7" s="1425"/>
      <c r="CP7" s="1425"/>
      <c r="CQ7" s="1458"/>
      <c r="CR7" s="1458"/>
      <c r="CS7" s="1398"/>
      <c r="CT7" s="1398"/>
      <c r="CU7" s="1398"/>
      <c r="CV7" s="1398"/>
      <c r="CW7" s="1398"/>
      <c r="CX7" s="1398"/>
      <c r="CY7" s="1398"/>
      <c r="CZ7" s="1398"/>
      <c r="DA7" s="1398"/>
      <c r="DB7" s="1373"/>
      <c r="DC7" s="1373"/>
      <c r="DD7" s="1373"/>
      <c r="DE7" s="1389"/>
      <c r="DF7" s="1389"/>
      <c r="DG7" s="1398"/>
      <c r="DH7" s="1385"/>
      <c r="DI7" s="1385"/>
      <c r="DJ7" s="1385"/>
      <c r="DK7" s="1385"/>
      <c r="DL7" s="1385"/>
      <c r="DM7" s="1294"/>
      <c r="DN7" s="1294"/>
      <c r="DO7" s="1294"/>
      <c r="DP7" s="1294"/>
      <c r="DQ7" s="1294"/>
      <c r="DR7" s="1294"/>
      <c r="DS7" s="1294"/>
      <c r="DT7" s="1294"/>
      <c r="DU7" s="1367"/>
      <c r="DV7" s="1367"/>
      <c r="DW7" s="1364"/>
      <c r="DX7" s="1294"/>
      <c r="DY7" s="1361"/>
      <c r="DZ7" s="1364"/>
      <c r="EA7" s="1361"/>
      <c r="EB7" s="1392"/>
      <c r="EC7" s="1392"/>
      <c r="ED7" s="1392"/>
      <c r="EE7" s="1392"/>
      <c r="EF7" s="1392"/>
      <c r="EG7" s="1361"/>
      <c r="EH7" s="1361"/>
      <c r="EI7" s="1361"/>
      <c r="EJ7" s="1361"/>
      <c r="EK7" s="1376"/>
      <c r="EL7" s="640" t="s">
        <v>682</v>
      </c>
      <c r="EM7" s="640" t="s">
        <v>95</v>
      </c>
      <c r="EN7" s="640" t="s">
        <v>96</v>
      </c>
      <c r="EO7" s="1373"/>
      <c r="EP7" s="1373"/>
      <c r="EQ7" s="1373"/>
      <c r="ER7" s="1373"/>
      <c r="ES7" s="1373"/>
      <c r="ET7" s="1370"/>
      <c r="EU7" s="1370"/>
      <c r="EV7" s="1484"/>
      <c r="EW7" s="1484"/>
      <c r="EX7" s="1481"/>
      <c r="EY7" s="1475"/>
      <c r="EZ7" s="1472"/>
    </row>
    <row r="8" spans="1:156" ht="14.25" customHeight="1" thickBot="1">
      <c r="A8" s="70" t="s">
        <v>102</v>
      </c>
      <c r="B8" s="137" t="s">
        <v>402</v>
      </c>
      <c r="C8" s="138" t="s">
        <v>2</v>
      </c>
      <c r="D8" s="13"/>
      <c r="E8" s="14"/>
      <c r="F8" s="14"/>
      <c r="G8" s="15"/>
      <c r="H8" s="16"/>
      <c r="I8" s="50"/>
      <c r="J8" s="31"/>
      <c r="K8" s="30"/>
      <c r="L8" s="31"/>
      <c r="M8" s="30"/>
      <c r="N8" s="31"/>
      <c r="O8" s="30"/>
      <c r="P8" s="31"/>
      <c r="Q8" s="30"/>
      <c r="R8" s="31"/>
      <c r="S8" s="30"/>
      <c r="T8" s="31"/>
      <c r="U8" s="30"/>
      <c r="V8" s="31"/>
      <c r="W8" s="30"/>
      <c r="X8" s="31"/>
      <c r="Y8" s="30"/>
      <c r="Z8" s="31"/>
      <c r="AA8" s="30"/>
      <c r="AB8" s="31"/>
      <c r="AC8" s="30"/>
      <c r="AD8" s="31"/>
      <c r="AE8" s="30"/>
      <c r="AF8" s="31"/>
      <c r="AG8" s="30"/>
      <c r="AH8" s="31"/>
      <c r="AI8" s="30"/>
      <c r="AJ8" s="31"/>
      <c r="AK8" s="30"/>
      <c r="AL8" s="31"/>
      <c r="AM8" s="30"/>
      <c r="AN8" s="31"/>
      <c r="AO8" s="30"/>
      <c r="AP8" s="31"/>
      <c r="AQ8" s="30"/>
      <c r="AR8" s="31"/>
      <c r="AS8" s="30"/>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289"/>
      <c r="CW8" s="289"/>
      <c r="CX8" s="289"/>
      <c r="CY8" s="289"/>
      <c r="CZ8" s="289"/>
      <c r="DA8" s="289"/>
      <c r="DB8" s="30"/>
      <c r="DC8" s="31"/>
      <c r="DD8" s="289"/>
      <c r="DE8" s="289"/>
      <c r="DF8" s="289"/>
      <c r="DG8" s="50">
        <v>111</v>
      </c>
      <c r="DH8" s="50" t="s">
        <v>453</v>
      </c>
      <c r="DI8" s="50" t="s">
        <v>454</v>
      </c>
      <c r="DJ8" s="469" t="s">
        <v>455</v>
      </c>
      <c r="DK8" s="469" t="s">
        <v>477</v>
      </c>
      <c r="DL8" s="469" t="s">
        <v>478</v>
      </c>
      <c r="DM8" s="469" t="s">
        <v>540</v>
      </c>
      <c r="DN8" s="469" t="s">
        <v>541</v>
      </c>
      <c r="DO8" s="469" t="s">
        <v>542</v>
      </c>
      <c r="DP8" s="469" t="s">
        <v>543</v>
      </c>
      <c r="DQ8" s="469" t="s">
        <v>544</v>
      </c>
      <c r="DR8" s="469" t="s">
        <v>545</v>
      </c>
      <c r="DS8" s="469" t="s">
        <v>546</v>
      </c>
      <c r="DT8" s="469" t="s">
        <v>547</v>
      </c>
      <c r="DU8" s="473" t="s">
        <v>548</v>
      </c>
      <c r="DV8" s="469" t="s">
        <v>549</v>
      </c>
      <c r="DW8" s="469" t="s">
        <v>550</v>
      </c>
      <c r="DX8" s="469" t="s">
        <v>551</v>
      </c>
      <c r="DY8" s="469" t="s">
        <v>552</v>
      </c>
      <c r="DZ8" s="469" t="s">
        <v>553</v>
      </c>
      <c r="EA8" s="469" t="s">
        <v>554</v>
      </c>
      <c r="EB8" s="469" t="s">
        <v>595</v>
      </c>
      <c r="EC8" s="469" t="s">
        <v>596</v>
      </c>
      <c r="ED8" s="469" t="s">
        <v>597</v>
      </c>
      <c r="EE8" s="469" t="s">
        <v>598</v>
      </c>
      <c r="EF8" s="469" t="s">
        <v>599</v>
      </c>
      <c r="EG8" s="469" t="s">
        <v>600</v>
      </c>
      <c r="EH8" s="469" t="s">
        <v>601</v>
      </c>
      <c r="EI8" s="469" t="s">
        <v>602</v>
      </c>
      <c r="EJ8" s="469" t="s">
        <v>603</v>
      </c>
      <c r="EK8" s="469" t="s">
        <v>666</v>
      </c>
      <c r="EL8" s="641" t="s">
        <v>683</v>
      </c>
      <c r="EM8" s="641" t="s">
        <v>684</v>
      </c>
      <c r="EN8" s="641" t="s">
        <v>685</v>
      </c>
      <c r="EO8" s="50" t="s">
        <v>738</v>
      </c>
      <c r="EP8" s="50" t="s">
        <v>743</v>
      </c>
      <c r="EQ8" s="50" t="s">
        <v>744</v>
      </c>
      <c r="ER8" s="50" t="s">
        <v>749</v>
      </c>
      <c r="ES8" s="469" t="s">
        <v>751</v>
      </c>
      <c r="ET8" s="1140" t="s">
        <v>812</v>
      </c>
      <c r="EU8" s="1140" t="s">
        <v>813</v>
      </c>
      <c r="EV8" s="151" t="s">
        <v>821</v>
      </c>
      <c r="EW8" s="151">
        <v>153</v>
      </c>
      <c r="EX8" s="469" t="s">
        <v>843</v>
      </c>
      <c r="EY8" s="469" t="s">
        <v>848</v>
      </c>
      <c r="EZ8" s="469" t="s">
        <v>892</v>
      </c>
    </row>
    <row r="9" spans="1:156" ht="14.25" customHeight="1">
      <c r="A9" s="20" t="s">
        <v>45</v>
      </c>
      <c r="B9" s="21" t="s">
        <v>402</v>
      </c>
      <c r="C9" s="22" t="s">
        <v>3</v>
      </c>
      <c r="D9" s="23" t="s">
        <v>20</v>
      </c>
      <c r="E9" s="21" t="s">
        <v>21</v>
      </c>
      <c r="F9" s="21">
        <v>32</v>
      </c>
      <c r="G9" s="6"/>
      <c r="H9" s="136" t="s">
        <v>245</v>
      </c>
      <c r="I9" s="179"/>
      <c r="J9" s="180"/>
      <c r="K9" s="180"/>
      <c r="L9" s="180"/>
      <c r="M9" s="180"/>
      <c r="N9" s="180"/>
      <c r="O9" s="180"/>
      <c r="P9" s="180"/>
      <c r="Q9" s="180"/>
      <c r="R9" s="180"/>
      <c r="S9" s="180"/>
      <c r="T9" s="180"/>
      <c r="U9" s="180"/>
      <c r="V9" s="180"/>
      <c r="W9" s="180"/>
      <c r="X9" s="187"/>
      <c r="Y9" s="190"/>
      <c r="Z9" s="180"/>
      <c r="AA9" s="180"/>
      <c r="AB9" s="180"/>
      <c r="AC9" s="180"/>
      <c r="AD9" s="180"/>
      <c r="AE9" s="180"/>
      <c r="AF9" s="187"/>
      <c r="AG9" s="190"/>
      <c r="AH9" s="180"/>
      <c r="AI9" s="180"/>
      <c r="AJ9" s="191"/>
      <c r="AK9" s="179"/>
      <c r="AL9" s="180"/>
      <c r="AM9" s="180"/>
      <c r="AN9" s="187"/>
      <c r="AO9" s="257"/>
      <c r="AP9" s="153"/>
      <c r="AQ9" s="153"/>
      <c r="AR9" s="192"/>
      <c r="AS9" s="337"/>
      <c r="AT9" s="194"/>
      <c r="AU9" s="193"/>
      <c r="AV9" s="194"/>
      <c r="AW9" s="193"/>
      <c r="AX9" s="194"/>
      <c r="AY9" s="123"/>
      <c r="AZ9" s="123"/>
      <c r="BA9" s="124"/>
      <c r="BB9" s="124"/>
      <c r="BC9" s="125"/>
      <c r="BD9" s="126"/>
      <c r="BE9" s="127"/>
      <c r="BF9" s="127"/>
      <c r="BG9" s="195"/>
      <c r="BH9" s="153"/>
      <c r="BI9" s="153"/>
      <c r="BJ9" s="193"/>
      <c r="BK9" s="153"/>
      <c r="BL9" s="153"/>
      <c r="BM9" s="153"/>
      <c r="BN9" s="153"/>
      <c r="BO9" s="153"/>
      <c r="BP9" s="153"/>
      <c r="BQ9" s="153"/>
      <c r="BR9" s="153"/>
      <c r="BS9" s="153"/>
      <c r="BT9" s="153"/>
      <c r="BU9" s="153"/>
      <c r="BV9" s="153"/>
      <c r="BW9" s="153"/>
      <c r="BX9" s="153"/>
      <c r="BY9" s="155"/>
      <c r="BZ9" s="155"/>
      <c r="CA9" s="153"/>
      <c r="CB9" s="153"/>
      <c r="CC9" s="153"/>
      <c r="CD9" s="153"/>
      <c r="CE9" s="153"/>
      <c r="CF9" s="153"/>
      <c r="CG9" s="153"/>
      <c r="CH9" s="153"/>
      <c r="CI9" s="153"/>
      <c r="CJ9" s="153"/>
      <c r="CK9" s="153"/>
      <c r="CL9" s="153"/>
      <c r="CM9" s="153"/>
      <c r="CN9" s="155"/>
      <c r="CO9" s="155"/>
      <c r="CP9" s="155"/>
      <c r="CQ9" s="155"/>
      <c r="CR9" s="155"/>
      <c r="CS9" s="155"/>
      <c r="CT9" s="155"/>
      <c r="CU9" s="155"/>
      <c r="CV9" s="155"/>
      <c r="CW9" s="155"/>
      <c r="CX9" s="64"/>
      <c r="CY9" s="155"/>
      <c r="CZ9" s="155"/>
      <c r="DA9" s="155"/>
      <c r="DB9" s="316"/>
      <c r="DC9" s="316"/>
      <c r="DD9" s="155"/>
      <c r="DE9" s="155"/>
      <c r="DF9" s="155"/>
      <c r="DG9" s="155"/>
      <c r="DH9" s="155"/>
      <c r="DI9" s="155"/>
      <c r="DJ9" s="155"/>
      <c r="DK9" s="155"/>
      <c r="DL9" s="155"/>
      <c r="DM9" s="155"/>
      <c r="DN9" s="155"/>
      <c r="DO9" s="155"/>
      <c r="DP9" s="155"/>
      <c r="DQ9" s="155"/>
      <c r="DR9" s="155"/>
      <c r="DS9" s="155"/>
      <c r="DT9" s="155"/>
      <c r="DU9" s="155"/>
      <c r="DV9" s="635"/>
      <c r="DW9" s="635"/>
      <c r="DX9" s="635"/>
      <c r="DY9" s="635"/>
      <c r="DZ9" s="155"/>
      <c r="EA9" s="155"/>
      <c r="EB9" s="155"/>
      <c r="EC9" s="155"/>
      <c r="ED9" s="155"/>
      <c r="EE9" s="155"/>
      <c r="EF9" s="155"/>
      <c r="EG9" s="155"/>
      <c r="EH9" s="155"/>
      <c r="EI9" s="155"/>
      <c r="EJ9" s="155"/>
      <c r="EK9" s="155"/>
      <c r="EL9" s="153"/>
      <c r="EM9" s="153"/>
      <c r="EN9" s="153"/>
      <c r="EO9" s="988"/>
      <c r="EP9" s="988"/>
      <c r="EQ9" s="988"/>
      <c r="ER9" s="988"/>
      <c r="ES9" s="996"/>
      <c r="ET9" s="1141"/>
      <c r="EU9" s="1141"/>
      <c r="EV9" s="1154"/>
      <c r="EW9" s="1154"/>
      <c r="EX9" s="155"/>
      <c r="EY9" s="155"/>
      <c r="EZ9" s="155"/>
    </row>
    <row r="10" spans="1:156" ht="14.25" customHeight="1">
      <c r="A10" s="20" t="s">
        <v>143</v>
      </c>
      <c r="B10" s="21" t="s">
        <v>402</v>
      </c>
      <c r="C10" s="22" t="s">
        <v>3</v>
      </c>
      <c r="D10" s="23" t="s">
        <v>82</v>
      </c>
      <c r="E10" s="21" t="s">
        <v>82</v>
      </c>
      <c r="F10" s="21" t="s">
        <v>138</v>
      </c>
      <c r="G10" s="6"/>
      <c r="H10" s="28"/>
      <c r="I10" s="179"/>
      <c r="J10" s="180"/>
      <c r="K10" s="180"/>
      <c r="L10" s="180"/>
      <c r="M10" s="180"/>
      <c r="N10" s="180"/>
      <c r="O10" s="180"/>
      <c r="P10" s="180"/>
      <c r="Q10" s="180"/>
      <c r="R10" s="180"/>
      <c r="S10" s="180"/>
      <c r="T10" s="180"/>
      <c r="U10" s="180"/>
      <c r="V10" s="180"/>
      <c r="W10" s="180"/>
      <c r="X10" s="187"/>
      <c r="Y10" s="196"/>
      <c r="Z10" s="197"/>
      <c r="AA10" s="198"/>
      <c r="AB10" s="197"/>
      <c r="AC10" s="180"/>
      <c r="AD10" s="180"/>
      <c r="AE10" s="180"/>
      <c r="AF10" s="187"/>
      <c r="AG10" s="190"/>
      <c r="AH10" s="180"/>
      <c r="AI10" s="180"/>
      <c r="AJ10" s="191"/>
      <c r="AK10" s="179"/>
      <c r="AL10" s="180"/>
      <c r="AM10" s="180"/>
      <c r="AN10" s="187"/>
      <c r="AO10" s="257"/>
      <c r="AP10" s="154"/>
      <c r="AQ10" s="153"/>
      <c r="AR10" s="154"/>
      <c r="AS10" s="338"/>
      <c r="AT10" s="191"/>
      <c r="AU10" s="199"/>
      <c r="AV10" s="191"/>
      <c r="AW10" s="199"/>
      <c r="AX10" s="191"/>
      <c r="AY10" s="128"/>
      <c r="AZ10" s="129"/>
      <c r="BA10" s="129"/>
      <c r="BB10" s="129"/>
      <c r="BC10" s="125"/>
      <c r="BD10" s="126"/>
      <c r="BE10" s="127"/>
      <c r="BF10" s="127"/>
      <c r="BG10" s="195"/>
      <c r="BH10" s="154"/>
      <c r="BI10" s="154"/>
      <c r="BJ10" s="200"/>
      <c r="BK10" s="153"/>
      <c r="BL10" s="153"/>
      <c r="BM10" s="153"/>
      <c r="BN10" s="153"/>
      <c r="BO10" s="153"/>
      <c r="BP10" s="153"/>
      <c r="BQ10" s="153"/>
      <c r="BR10" s="153"/>
      <c r="BS10" s="153"/>
      <c r="BT10" s="153"/>
      <c r="BU10" s="153"/>
      <c r="BV10" s="153"/>
      <c r="BW10" s="153"/>
      <c r="BX10" s="153"/>
      <c r="BY10" s="153"/>
      <c r="BZ10" s="153"/>
      <c r="CA10" s="153"/>
      <c r="CB10" s="153"/>
      <c r="CC10" s="153"/>
      <c r="CD10" s="153"/>
      <c r="CE10" s="153"/>
      <c r="CF10" s="153"/>
      <c r="CG10" s="153"/>
      <c r="CH10" s="153"/>
      <c r="CI10" s="153"/>
      <c r="CJ10" s="153"/>
      <c r="CK10" s="153"/>
      <c r="CL10" s="153"/>
      <c r="CM10" s="153"/>
      <c r="CN10" s="153"/>
      <c r="CO10" s="153"/>
      <c r="CP10" s="153"/>
      <c r="CQ10" s="153"/>
      <c r="CR10" s="153"/>
      <c r="CS10" s="153"/>
      <c r="CT10" s="153"/>
      <c r="CU10" s="153"/>
      <c r="CV10" s="155"/>
      <c r="CW10" s="155"/>
      <c r="CX10" s="64"/>
      <c r="CY10" s="155"/>
      <c r="CZ10" s="155"/>
      <c r="DA10" s="155"/>
      <c r="DB10" s="319"/>
      <c r="DC10" s="318"/>
      <c r="DD10" s="155"/>
      <c r="DE10" s="155"/>
      <c r="DF10" s="155"/>
      <c r="DG10" s="155"/>
      <c r="DH10" s="153"/>
      <c r="DI10" s="153"/>
      <c r="DJ10" s="153"/>
      <c r="DK10" s="153"/>
      <c r="DL10" s="153"/>
      <c r="DM10" s="155"/>
      <c r="DN10" s="155"/>
      <c r="DO10" s="155"/>
      <c r="DP10" s="155"/>
      <c r="DQ10" s="155"/>
      <c r="DR10" s="155"/>
      <c r="DS10" s="155"/>
      <c r="DT10" s="155"/>
      <c r="DU10" s="155"/>
      <c r="DV10" s="635"/>
      <c r="DW10" s="635"/>
      <c r="DX10" s="635"/>
      <c r="DY10" s="635"/>
      <c r="DZ10" s="155"/>
      <c r="EA10" s="155"/>
      <c r="EB10" s="288"/>
      <c r="EC10" s="288"/>
      <c r="ED10" s="288"/>
      <c r="EE10" s="288"/>
      <c r="EF10" s="288"/>
      <c r="EG10" s="288"/>
      <c r="EH10" s="288"/>
      <c r="EI10" s="288"/>
      <c r="EJ10" s="288"/>
      <c r="EK10" s="288"/>
      <c r="EL10" s="173"/>
      <c r="EM10" s="173"/>
      <c r="EN10" s="173"/>
      <c r="EO10" s="319"/>
      <c r="EP10" s="319"/>
      <c r="EQ10" s="319"/>
      <c r="ER10" s="319"/>
      <c r="ES10" s="338"/>
      <c r="ET10" s="1141"/>
      <c r="EU10" s="1141"/>
      <c r="EV10" s="1154"/>
      <c r="EW10" s="1154"/>
      <c r="EX10" s="288"/>
      <c r="EY10" s="288"/>
      <c r="EZ10" s="288"/>
    </row>
    <row r="11" spans="1:156" ht="14.25" customHeight="1" thickBot="1">
      <c r="A11" s="20" t="s">
        <v>403</v>
      </c>
      <c r="B11" s="21" t="s">
        <v>402</v>
      </c>
      <c r="C11" s="22" t="s">
        <v>3</v>
      </c>
      <c r="D11" s="23" t="s">
        <v>20</v>
      </c>
      <c r="E11" s="21" t="s">
        <v>51</v>
      </c>
      <c r="F11" s="21">
        <v>32</v>
      </c>
      <c r="G11" s="6"/>
      <c r="H11" s="28" t="s">
        <v>36</v>
      </c>
      <c r="I11" s="181"/>
      <c r="J11" s="182"/>
      <c r="K11" s="182"/>
      <c r="L11" s="182"/>
      <c r="M11" s="182"/>
      <c r="N11" s="182"/>
      <c r="O11" s="180"/>
      <c r="P11" s="182"/>
      <c r="Q11" s="182"/>
      <c r="R11" s="182"/>
      <c r="S11" s="182"/>
      <c r="T11" s="182"/>
      <c r="U11" s="182"/>
      <c r="V11" s="182"/>
      <c r="W11" s="182"/>
      <c r="X11" s="188"/>
      <c r="Y11" s="190"/>
      <c r="Z11" s="180"/>
      <c r="AA11" s="180"/>
      <c r="AB11" s="180"/>
      <c r="AC11" s="182"/>
      <c r="AD11" s="182"/>
      <c r="AE11" s="182"/>
      <c r="AF11" s="188"/>
      <c r="AG11" s="201"/>
      <c r="AH11" s="182"/>
      <c r="AI11" s="182"/>
      <c r="AJ11" s="202"/>
      <c r="AK11" s="181"/>
      <c r="AL11" s="182"/>
      <c r="AM11" s="182"/>
      <c r="AN11" s="188"/>
      <c r="AO11" s="258"/>
      <c r="AP11" s="154"/>
      <c r="AQ11" s="154"/>
      <c r="AR11" s="153"/>
      <c r="AS11" s="339"/>
      <c r="AT11" s="202"/>
      <c r="AU11" s="201"/>
      <c r="AV11" s="202"/>
      <c r="AW11" s="201"/>
      <c r="AX11" s="202"/>
      <c r="AY11" s="126"/>
      <c r="AZ11" s="127"/>
      <c r="BA11" s="127"/>
      <c r="BB11" s="127"/>
      <c r="BC11" s="125"/>
      <c r="BD11" s="126"/>
      <c r="BE11" s="127"/>
      <c r="BF11" s="127"/>
      <c r="BG11" s="195"/>
      <c r="BH11" s="154"/>
      <c r="BI11" s="154"/>
      <c r="BJ11" s="201"/>
      <c r="BK11" s="154"/>
      <c r="BL11" s="154"/>
      <c r="BM11" s="154"/>
      <c r="BN11" s="153"/>
      <c r="BO11" s="153"/>
      <c r="BP11" s="153"/>
      <c r="BQ11" s="153"/>
      <c r="BR11" s="153"/>
      <c r="BS11" s="153"/>
      <c r="BT11" s="153"/>
      <c r="BU11" s="153"/>
      <c r="BV11" s="153"/>
      <c r="BW11" s="153"/>
      <c r="BX11" s="153"/>
      <c r="BY11" s="156"/>
      <c r="BZ11" s="155"/>
      <c r="CA11" s="153"/>
      <c r="CB11" s="153"/>
      <c r="CC11" s="153"/>
      <c r="CD11" s="153"/>
      <c r="CE11" s="154"/>
      <c r="CF11" s="154"/>
      <c r="CG11" s="154"/>
      <c r="CH11" s="154"/>
      <c r="CI11" s="154"/>
      <c r="CJ11" s="154"/>
      <c r="CK11" s="153"/>
      <c r="CL11" s="153"/>
      <c r="CM11" s="153"/>
      <c r="CN11" s="155"/>
      <c r="CO11" s="156"/>
      <c r="CP11" s="155"/>
      <c r="CQ11" s="155"/>
      <c r="CR11" s="155"/>
      <c r="CS11" s="156"/>
      <c r="CT11" s="156"/>
      <c r="CU11" s="156"/>
      <c r="CV11" s="155"/>
      <c r="CW11" s="155"/>
      <c r="CX11" s="64"/>
      <c r="CY11" s="155"/>
      <c r="CZ11" s="155"/>
      <c r="DA11" s="155"/>
      <c r="DB11" s="146"/>
      <c r="DC11" s="146"/>
      <c r="DD11" s="155"/>
      <c r="DE11" s="155"/>
      <c r="DF11" s="155"/>
      <c r="DG11" s="155"/>
      <c r="DH11" s="155"/>
      <c r="DI11" s="155"/>
      <c r="DJ11" s="155"/>
      <c r="DK11" s="155"/>
      <c r="DL11" s="155"/>
      <c r="DM11" s="155"/>
      <c r="DN11" s="155"/>
      <c r="DO11" s="155"/>
      <c r="DP11" s="155"/>
      <c r="DQ11" s="155"/>
      <c r="DR11" s="155"/>
      <c r="DS11" s="155"/>
      <c r="DT11" s="155"/>
      <c r="DU11" s="155"/>
      <c r="DV11" s="635"/>
      <c r="DW11" s="635"/>
      <c r="DX11" s="635"/>
      <c r="DY11" s="635"/>
      <c r="DZ11" s="155"/>
      <c r="EA11" s="155"/>
      <c r="EB11" s="288"/>
      <c r="EC11" s="288"/>
      <c r="ED11" s="288"/>
      <c r="EE11" s="288"/>
      <c r="EF11" s="288"/>
      <c r="EG11" s="288"/>
      <c r="EH11" s="288"/>
      <c r="EI11" s="288"/>
      <c r="EJ11" s="288"/>
      <c r="EK11" s="288"/>
      <c r="EL11" s="173"/>
      <c r="EM11" s="173"/>
      <c r="EN11" s="173"/>
      <c r="EO11" s="987"/>
      <c r="EP11" s="987"/>
      <c r="EQ11" s="987"/>
      <c r="ER11" s="987"/>
      <c r="ES11" s="997"/>
      <c r="ET11" s="1141"/>
      <c r="EU11" s="1141"/>
      <c r="EV11" s="1154"/>
      <c r="EW11" s="1154"/>
      <c r="EX11" s="288"/>
      <c r="EY11" s="288"/>
      <c r="EZ11" s="288"/>
    </row>
    <row r="12" spans="1:156" ht="14.25" customHeight="1">
      <c r="A12" s="20" t="s">
        <v>404</v>
      </c>
      <c r="B12" s="21" t="s">
        <v>402</v>
      </c>
      <c r="C12" s="22" t="s">
        <v>3</v>
      </c>
      <c r="D12" s="23" t="s">
        <v>20</v>
      </c>
      <c r="E12" s="21" t="s">
        <v>20</v>
      </c>
      <c r="F12" s="21">
        <v>31</v>
      </c>
      <c r="G12" s="6"/>
      <c r="H12" s="214"/>
      <c r="I12" s="181"/>
      <c r="J12" s="182"/>
      <c r="K12" s="182"/>
      <c r="L12" s="182"/>
      <c r="M12" s="182"/>
      <c r="N12" s="182"/>
      <c r="O12" s="180"/>
      <c r="P12" s="182"/>
      <c r="Q12" s="182"/>
      <c r="R12" s="182"/>
      <c r="S12" s="182"/>
      <c r="T12" s="182"/>
      <c r="U12" s="182"/>
      <c r="V12" s="182"/>
      <c r="W12" s="182"/>
      <c r="X12" s="188"/>
      <c r="Y12" s="190"/>
      <c r="Z12" s="180"/>
      <c r="AA12" s="180"/>
      <c r="AB12" s="180"/>
      <c r="AC12" s="182"/>
      <c r="AD12" s="182"/>
      <c r="AE12" s="182"/>
      <c r="AF12" s="188"/>
      <c r="AG12" s="201"/>
      <c r="AH12" s="182"/>
      <c r="AI12" s="182"/>
      <c r="AJ12" s="202"/>
      <c r="AK12" s="181"/>
      <c r="AL12" s="182"/>
      <c r="AM12" s="182"/>
      <c r="AN12" s="188"/>
      <c r="AO12" s="258"/>
      <c r="AP12" s="154"/>
      <c r="AQ12" s="154"/>
      <c r="AR12" s="153"/>
      <c r="AS12" s="339"/>
      <c r="AT12" s="202"/>
      <c r="AU12" s="201"/>
      <c r="AV12" s="202"/>
      <c r="AW12" s="201"/>
      <c r="AX12" s="202"/>
      <c r="AY12" s="126"/>
      <c r="AZ12" s="127"/>
      <c r="BA12" s="127"/>
      <c r="BB12" s="127"/>
      <c r="BC12" s="125"/>
      <c r="BD12" s="126"/>
      <c r="BE12" s="127"/>
      <c r="BF12" s="127"/>
      <c r="BG12" s="195"/>
      <c r="BH12" s="154"/>
      <c r="BI12" s="154"/>
      <c r="BJ12" s="201"/>
      <c r="BK12" s="154"/>
      <c r="BL12" s="154"/>
      <c r="BM12" s="154"/>
      <c r="BN12" s="153"/>
      <c r="BO12" s="153"/>
      <c r="BP12" s="153"/>
      <c r="BQ12" s="153"/>
      <c r="BR12" s="153"/>
      <c r="BS12" s="153"/>
      <c r="BT12" s="153"/>
      <c r="BU12" s="153"/>
      <c r="BV12" s="153"/>
      <c r="BW12" s="153"/>
      <c r="BX12" s="153"/>
      <c r="BY12" s="156"/>
      <c r="BZ12" s="155"/>
      <c r="CA12" s="153"/>
      <c r="CB12" s="153"/>
      <c r="CC12" s="153"/>
      <c r="CD12" s="153"/>
      <c r="CE12" s="154"/>
      <c r="CF12" s="154"/>
      <c r="CG12" s="154"/>
      <c r="CH12" s="154"/>
      <c r="CI12" s="154"/>
      <c r="CJ12" s="154"/>
      <c r="CK12" s="153"/>
      <c r="CL12" s="153"/>
      <c r="CM12" s="153"/>
      <c r="CN12" s="155"/>
      <c r="CO12" s="156"/>
      <c r="CP12" s="155"/>
      <c r="CQ12" s="155"/>
      <c r="CR12" s="155"/>
      <c r="CS12" s="156"/>
      <c r="CT12" s="156"/>
      <c r="CU12" s="156"/>
      <c r="CV12" s="155"/>
      <c r="CW12" s="155"/>
      <c r="CX12" s="64"/>
      <c r="CY12" s="155"/>
      <c r="CZ12" s="155"/>
      <c r="DA12" s="155"/>
      <c r="DB12" s="316"/>
      <c r="DC12" s="316"/>
      <c r="DD12" s="155"/>
      <c r="DE12" s="155"/>
      <c r="DF12" s="155"/>
      <c r="DG12" s="155"/>
      <c r="DH12" s="155"/>
      <c r="DI12" s="155"/>
      <c r="DJ12" s="155"/>
      <c r="DK12" s="155"/>
      <c r="DL12" s="155"/>
      <c r="DM12" s="155"/>
      <c r="DN12" s="155"/>
      <c r="DO12" s="155"/>
      <c r="DP12" s="155"/>
      <c r="DQ12" s="155"/>
      <c r="DR12" s="155"/>
      <c r="DS12" s="155"/>
      <c r="DT12" s="155"/>
      <c r="DU12" s="155"/>
      <c r="DV12" s="635"/>
      <c r="DW12" s="635"/>
      <c r="DX12" s="635"/>
      <c r="DY12" s="635"/>
      <c r="DZ12" s="155"/>
      <c r="EA12" s="155"/>
      <c r="EB12" s="288"/>
      <c r="EC12" s="288"/>
      <c r="ED12" s="288"/>
      <c r="EE12" s="288"/>
      <c r="EF12" s="288"/>
      <c r="EG12" s="288"/>
      <c r="EH12" s="288"/>
      <c r="EI12" s="288"/>
      <c r="EJ12" s="288"/>
      <c r="EK12" s="288"/>
      <c r="EL12" s="173"/>
      <c r="EM12" s="173"/>
      <c r="EN12" s="173"/>
      <c r="EO12" s="989"/>
      <c r="EP12" s="989"/>
      <c r="EQ12" s="989"/>
      <c r="ER12" s="989"/>
      <c r="ES12" s="998"/>
      <c r="ET12" s="1141"/>
      <c r="EU12" s="1141"/>
      <c r="EV12" s="1154"/>
      <c r="EW12" s="1154"/>
      <c r="EX12" s="288"/>
      <c r="EY12" s="288"/>
      <c r="EZ12" s="288"/>
    </row>
    <row r="13" spans="1:156" ht="14.25" customHeight="1" thickBot="1">
      <c r="A13" s="74" t="s">
        <v>0</v>
      </c>
      <c r="B13" s="75" t="s">
        <v>402</v>
      </c>
      <c r="C13" s="76" t="s">
        <v>4</v>
      </c>
      <c r="D13" s="77"/>
      <c r="E13" s="78"/>
      <c r="F13" s="78"/>
      <c r="G13" s="79"/>
      <c r="H13" s="80"/>
      <c r="I13" s="183">
        <f t="shared" ref="I13:AE13" si="0">SUBTOTAL(9,I8:I12)</f>
        <v>0</v>
      </c>
      <c r="J13" s="183">
        <f t="shared" si="0"/>
        <v>0</v>
      </c>
      <c r="K13" s="183">
        <f t="shared" si="0"/>
        <v>0</v>
      </c>
      <c r="L13" s="183">
        <f t="shared" si="0"/>
        <v>0</v>
      </c>
      <c r="M13" s="183">
        <f t="shared" si="0"/>
        <v>0</v>
      </c>
      <c r="N13" s="183">
        <f t="shared" si="0"/>
        <v>0</v>
      </c>
      <c r="O13" s="183">
        <f t="shared" si="0"/>
        <v>0</v>
      </c>
      <c r="P13" s="183">
        <f t="shared" si="0"/>
        <v>0</v>
      </c>
      <c r="Q13" s="183">
        <f t="shared" si="0"/>
        <v>0</v>
      </c>
      <c r="R13" s="183">
        <f t="shared" si="0"/>
        <v>0</v>
      </c>
      <c r="S13" s="183">
        <f t="shared" si="0"/>
        <v>0</v>
      </c>
      <c r="T13" s="183">
        <f t="shared" si="0"/>
        <v>0</v>
      </c>
      <c r="U13" s="183">
        <f t="shared" si="0"/>
        <v>0</v>
      </c>
      <c r="V13" s="183">
        <f t="shared" si="0"/>
        <v>0</v>
      </c>
      <c r="W13" s="183">
        <f t="shared" si="0"/>
        <v>0</v>
      </c>
      <c r="X13" s="183">
        <f t="shared" si="0"/>
        <v>0</v>
      </c>
      <c r="Y13" s="183">
        <f t="shared" si="0"/>
        <v>0</v>
      </c>
      <c r="Z13" s="183">
        <f t="shared" si="0"/>
        <v>0</v>
      </c>
      <c r="AA13" s="183">
        <f t="shared" si="0"/>
        <v>0</v>
      </c>
      <c r="AB13" s="183">
        <f t="shared" si="0"/>
        <v>0</v>
      </c>
      <c r="AC13" s="183">
        <f t="shared" si="0"/>
        <v>0</v>
      </c>
      <c r="AD13" s="183">
        <f t="shared" si="0"/>
        <v>0</v>
      </c>
      <c r="AE13" s="183">
        <f t="shared" si="0"/>
        <v>0</v>
      </c>
      <c r="AF13" s="183">
        <f>SUBTOTAL(9,AF9:AF12)</f>
        <v>0</v>
      </c>
      <c r="AG13" s="183">
        <f t="shared" ref="AG13:AT13" si="1">SUBTOTAL(9,AG8:AG12)</f>
        <v>0</v>
      </c>
      <c r="AH13" s="183">
        <f t="shared" si="1"/>
        <v>0</v>
      </c>
      <c r="AI13" s="183">
        <f t="shared" si="1"/>
        <v>0</v>
      </c>
      <c r="AJ13" s="183">
        <f t="shared" si="1"/>
        <v>0</v>
      </c>
      <c r="AK13" s="183">
        <f t="shared" si="1"/>
        <v>0</v>
      </c>
      <c r="AL13" s="183">
        <f t="shared" si="1"/>
        <v>0</v>
      </c>
      <c r="AM13" s="183">
        <f t="shared" si="1"/>
        <v>0</v>
      </c>
      <c r="AN13" s="183">
        <f t="shared" si="1"/>
        <v>0</v>
      </c>
      <c r="AO13" s="183">
        <f t="shared" si="1"/>
        <v>0</v>
      </c>
      <c r="AP13" s="183">
        <f t="shared" si="1"/>
        <v>0</v>
      </c>
      <c r="AQ13" s="183">
        <f t="shared" si="1"/>
        <v>0</v>
      </c>
      <c r="AR13" s="183">
        <f t="shared" si="1"/>
        <v>0</v>
      </c>
      <c r="AS13" s="183">
        <f t="shared" si="1"/>
        <v>0</v>
      </c>
      <c r="AT13" s="183">
        <f t="shared" si="1"/>
        <v>0</v>
      </c>
      <c r="AU13" s="203"/>
      <c r="AV13" s="132"/>
      <c r="AW13" s="203"/>
      <c r="AX13" s="132"/>
      <c r="AY13" s="183">
        <f>SUBTOTAL(9,AY8:AY12)</f>
        <v>0</v>
      </c>
      <c r="AZ13" s="183">
        <f>SUBTOTAL(9,AZ8:AZ12)</f>
        <v>0</v>
      </c>
      <c r="BA13" s="183">
        <f>SUBTOTAL(9,BA8:BA12)</f>
        <v>0</v>
      </c>
      <c r="BB13" s="183">
        <f>SUBTOTAL(9,BB8:BB12)</f>
        <v>0</v>
      </c>
      <c r="BC13" s="183">
        <f>SUBTOTAL(9,BC8:BC12)</f>
        <v>0</v>
      </c>
      <c r="BD13" s="204" t="str">
        <f>IF(ISNUMBER(BA13/AZ13),BA13/AZ13," - ")</f>
        <v xml:space="preserve"> - </v>
      </c>
      <c r="BE13" s="205" t="str">
        <f>IF(ISNUMBER(BB13/BA13),BB13/BA13, " - ")</f>
        <v xml:space="preserve"> - </v>
      </c>
      <c r="BF13" s="205" t="str">
        <f>IF(ISNUMBER(BC13/BA13),BC13/BA13, " - ")</f>
        <v xml:space="preserve"> - </v>
      </c>
      <c r="BG13" s="206" t="str">
        <f>IF(ISNUMBER((AY13+AZ13)/BA13),(AY13+AZ13)/BA13," - ")</f>
        <v xml:space="preserve"> - </v>
      </c>
      <c r="BH13" s="139">
        <f>SUBTOTAL(9,BH8:BH12)</f>
        <v>0</v>
      </c>
      <c r="BI13" s="139">
        <f>SUBTOTAL(9,BI8:BI12)</f>
        <v>0</v>
      </c>
      <c r="BJ13" s="139">
        <f>SUBTOTAL(9,BJ8:BJ12)</f>
        <v>0</v>
      </c>
      <c r="BK13" s="139">
        <f>SUBTOTAL(9,BK8:BK12)</f>
        <v>0</v>
      </c>
      <c r="BL13" s="139">
        <f>SUBTOTAL(9,BL8:BL12)</f>
        <v>0</v>
      </c>
      <c r="BM13" s="139" t="e">
        <f>AVERAGE(BM8:BM12)</f>
        <v>#DIV/0!</v>
      </c>
      <c r="BN13" s="150"/>
      <c r="BO13" s="150"/>
      <c r="BP13" s="150"/>
      <c r="BQ13" s="150"/>
      <c r="BR13" s="150"/>
      <c r="BS13" s="150"/>
      <c r="BT13" s="150"/>
      <c r="BU13" s="150"/>
      <c r="BV13" s="139"/>
      <c r="BW13" s="139"/>
      <c r="BX13" s="139"/>
      <c r="BY13" s="150"/>
      <c r="BZ13" s="150"/>
      <c r="CA13" s="139">
        <f t="shared" ref="CA13:CL13" si="2">SUBTOTAL(9,CA8:CA12)</f>
        <v>0</v>
      </c>
      <c r="CB13" s="139">
        <f t="shared" si="2"/>
        <v>0</v>
      </c>
      <c r="CC13" s="139">
        <f t="shared" si="2"/>
        <v>0</v>
      </c>
      <c r="CD13" s="139">
        <f t="shared" si="2"/>
        <v>0</v>
      </c>
      <c r="CE13" s="139">
        <f t="shared" si="2"/>
        <v>0</v>
      </c>
      <c r="CF13" s="139">
        <f t="shared" si="2"/>
        <v>0</v>
      </c>
      <c r="CG13" s="139">
        <f t="shared" si="2"/>
        <v>0</v>
      </c>
      <c r="CH13" s="139">
        <f t="shared" si="2"/>
        <v>0</v>
      </c>
      <c r="CI13" s="139">
        <f t="shared" si="2"/>
        <v>0</v>
      </c>
      <c r="CJ13" s="139">
        <f t="shared" si="2"/>
        <v>0</v>
      </c>
      <c r="CK13" s="139">
        <f t="shared" si="2"/>
        <v>0</v>
      </c>
      <c r="CL13" s="139">
        <f t="shared" si="2"/>
        <v>0</v>
      </c>
      <c r="CM13" s="139"/>
      <c r="CN13" s="150" t="e">
        <f>AVERAGE(CN8:CN12)</f>
        <v>#DIV/0!</v>
      </c>
      <c r="CO13" s="150"/>
      <c r="CP13" s="150"/>
      <c r="CQ13" s="150"/>
      <c r="CR13" s="150"/>
      <c r="CS13" s="139">
        <f>SUBTOTAL(9,CS8:CS12)</f>
        <v>0</v>
      </c>
      <c r="CT13" s="139">
        <f>SUBTOTAL(9,CT8:CT12)</f>
        <v>0</v>
      </c>
      <c r="CU13" s="139">
        <f>SUBTOTAL(9,CU8:CU12)</f>
        <v>0</v>
      </c>
      <c r="CV13" s="139">
        <f>SUBTOTAL(9,CV8:CV12)</f>
        <v>0</v>
      </c>
      <c r="CW13" s="150"/>
      <c r="CX13" s="109"/>
      <c r="CY13" s="150"/>
      <c r="CZ13" s="150"/>
      <c r="DA13" s="150"/>
      <c r="DB13" s="321"/>
      <c r="DC13" s="322"/>
      <c r="DD13" s="323"/>
      <c r="DE13" s="323"/>
      <c r="DF13" s="323"/>
      <c r="DG13" s="150"/>
      <c r="DH13" s="150"/>
      <c r="DI13" s="150"/>
      <c r="DJ13" s="150"/>
      <c r="DK13" s="150"/>
      <c r="DL13" s="150"/>
      <c r="DM13" s="150"/>
      <c r="DN13" s="150"/>
      <c r="DO13" s="150"/>
      <c r="DP13" s="150"/>
      <c r="DQ13" s="150"/>
      <c r="DR13" s="150"/>
      <c r="DS13" s="150"/>
      <c r="DT13" s="150"/>
      <c r="DU13" s="150"/>
      <c r="DV13" s="150"/>
      <c r="DW13" s="150"/>
      <c r="DX13" s="150"/>
      <c r="DY13" s="150"/>
      <c r="DZ13" s="150"/>
      <c r="EA13" s="150"/>
      <c r="EB13" s="150"/>
      <c r="EC13" s="150"/>
      <c r="ED13" s="150"/>
      <c r="EE13" s="150"/>
      <c r="EF13" s="150"/>
      <c r="EG13" s="150"/>
      <c r="EH13" s="150"/>
      <c r="EI13" s="150"/>
      <c r="EJ13" s="150"/>
      <c r="EK13" s="150"/>
      <c r="EL13" s="139">
        <f t="shared" ref="EL13:ES13" si="3">SUBTOTAL(9,EL8:EL12)</f>
        <v>0</v>
      </c>
      <c r="EM13" s="139">
        <f t="shared" si="3"/>
        <v>0</v>
      </c>
      <c r="EN13" s="139">
        <f t="shared" si="3"/>
        <v>0</v>
      </c>
      <c r="EO13" s="139">
        <f t="shared" si="3"/>
        <v>0</v>
      </c>
      <c r="EP13" s="139">
        <f t="shared" si="3"/>
        <v>0</v>
      </c>
      <c r="EQ13" s="139">
        <f t="shared" si="3"/>
        <v>0</v>
      </c>
      <c r="ER13" s="139">
        <f t="shared" si="3"/>
        <v>0</v>
      </c>
      <c r="ES13" s="150">
        <f t="shared" si="3"/>
        <v>0</v>
      </c>
      <c r="ET13" s="1142"/>
      <c r="EU13" s="1142"/>
      <c r="EV13" s="150">
        <f>SUBTOTAL(9,EV8:EV12)</f>
        <v>0</v>
      </c>
      <c r="EW13" s="150"/>
      <c r="EX13" s="150">
        <f>SUBTOTAL(9,EX8:EX12)</f>
        <v>0</v>
      </c>
      <c r="EY13" s="150">
        <f>SUBTOTAL(9,EY8:EY12)</f>
        <v>0</v>
      </c>
      <c r="EZ13" s="150"/>
    </row>
    <row r="14" spans="1:156" ht="14.25" customHeight="1" thickBot="1">
      <c r="A14" s="70" t="s">
        <v>101</v>
      </c>
      <c r="B14" s="82" t="s">
        <v>402</v>
      </c>
      <c r="C14" s="83" t="s">
        <v>2</v>
      </c>
      <c r="D14" s="84"/>
      <c r="E14" s="85"/>
      <c r="F14" s="85"/>
      <c r="G14" s="86"/>
      <c r="H14" s="87"/>
      <c r="I14" s="184"/>
      <c r="J14" s="185"/>
      <c r="K14" s="185"/>
      <c r="L14" s="185"/>
      <c r="M14" s="185"/>
      <c r="N14" s="185"/>
      <c r="O14" s="185"/>
      <c r="P14" s="185"/>
      <c r="Q14" s="185"/>
      <c r="R14" s="185"/>
      <c r="S14" s="185"/>
      <c r="T14" s="185"/>
      <c r="U14" s="185"/>
      <c r="V14" s="185"/>
      <c r="W14" s="185"/>
      <c r="X14" s="189"/>
      <c r="Y14" s="193"/>
      <c r="Z14" s="185"/>
      <c r="AA14" s="185"/>
      <c r="AB14" s="185"/>
      <c r="AC14" s="185"/>
      <c r="AD14" s="185"/>
      <c r="AE14" s="185"/>
      <c r="AF14" s="189"/>
      <c r="AG14" s="193"/>
      <c r="AH14" s="185"/>
      <c r="AI14" s="185"/>
      <c r="AJ14" s="194"/>
      <c r="AK14" s="186"/>
      <c r="AL14" s="185"/>
      <c r="AM14" s="185"/>
      <c r="AN14" s="189"/>
      <c r="AO14" s="192"/>
      <c r="AP14" s="192"/>
      <c r="AQ14" s="192"/>
      <c r="AR14" s="192"/>
      <c r="AS14" s="337"/>
      <c r="AT14" s="194"/>
      <c r="AU14" s="193"/>
      <c r="AV14" s="194"/>
      <c r="AW14" s="193"/>
      <c r="AX14" s="194"/>
      <c r="AY14" s="207"/>
      <c r="AZ14" s="189"/>
      <c r="BA14" s="189"/>
      <c r="BB14" s="189"/>
      <c r="BC14" s="194"/>
      <c r="BD14" s="207"/>
      <c r="BE14" s="189"/>
      <c r="BF14" s="189"/>
      <c r="BG14" s="194"/>
      <c r="BH14" s="192"/>
      <c r="BI14" s="192"/>
      <c r="BJ14" s="193"/>
      <c r="BK14" s="192"/>
      <c r="BL14" s="192"/>
      <c r="BM14" s="192"/>
      <c r="BN14" s="151"/>
      <c r="BO14" s="151"/>
      <c r="BP14" s="151"/>
      <c r="BQ14" s="151"/>
      <c r="BR14" s="151"/>
      <c r="BS14" s="151"/>
      <c r="BT14" s="151"/>
      <c r="BU14" s="151"/>
      <c r="BV14" s="192"/>
      <c r="BW14" s="192"/>
      <c r="BX14" s="192"/>
      <c r="BY14" s="151"/>
      <c r="BZ14" s="151"/>
      <c r="CA14" s="192"/>
      <c r="CB14" s="192"/>
      <c r="CC14" s="192"/>
      <c r="CD14" s="192"/>
      <c r="CE14" s="192"/>
      <c r="CF14" s="192"/>
      <c r="CG14" s="192"/>
      <c r="CH14" s="192"/>
      <c r="CI14" s="192"/>
      <c r="CJ14" s="192"/>
      <c r="CK14" s="192"/>
      <c r="CL14" s="192"/>
      <c r="CM14" s="192"/>
      <c r="CN14" s="151"/>
      <c r="CO14" s="151"/>
      <c r="CP14" s="151"/>
      <c r="CQ14" s="151"/>
      <c r="CR14" s="151"/>
      <c r="CS14" s="151"/>
      <c r="CT14" s="151"/>
      <c r="CU14" s="151"/>
      <c r="CV14" s="151"/>
      <c r="CW14" s="151"/>
      <c r="CX14" s="60"/>
      <c r="CY14" s="151"/>
      <c r="CZ14" s="151"/>
      <c r="DA14" s="151"/>
      <c r="DB14" s="316"/>
      <c r="DC14" s="317"/>
      <c r="DD14" s="324"/>
      <c r="DE14" s="324"/>
      <c r="DF14" s="324"/>
      <c r="DG14" s="151"/>
      <c r="DH14" s="151"/>
      <c r="DI14" s="151"/>
      <c r="DJ14" s="151"/>
      <c r="DK14" s="151"/>
      <c r="DL14" s="151"/>
      <c r="DM14" s="150"/>
      <c r="DN14" s="150"/>
      <c r="DO14" s="150"/>
      <c r="DP14" s="150"/>
      <c r="DQ14" s="150"/>
      <c r="DR14" s="150"/>
      <c r="DS14" s="150"/>
      <c r="DT14" s="150"/>
      <c r="DU14" s="150"/>
      <c r="DV14" s="150"/>
      <c r="DW14" s="150"/>
      <c r="DX14" s="150"/>
      <c r="DY14" s="150"/>
      <c r="DZ14" s="150"/>
      <c r="EA14" s="150"/>
      <c r="EB14" s="151"/>
      <c r="EC14" s="151"/>
      <c r="ED14" s="151"/>
      <c r="EE14" s="151"/>
      <c r="EF14" s="151"/>
      <c r="EG14" s="151"/>
      <c r="EH14" s="151"/>
      <c r="EI14" s="151"/>
      <c r="EJ14" s="151"/>
      <c r="EK14" s="151"/>
      <c r="EL14" s="192"/>
      <c r="EM14" s="192"/>
      <c r="EN14" s="192"/>
      <c r="EO14" s="316"/>
      <c r="EP14" s="316"/>
      <c r="EQ14" s="316"/>
      <c r="ER14" s="316"/>
      <c r="ES14" s="337"/>
      <c r="ET14" s="182"/>
      <c r="EU14" s="182"/>
      <c r="EV14" s="151"/>
      <c r="EW14" s="151"/>
      <c r="EX14" s="151"/>
      <c r="EY14" s="151"/>
      <c r="EZ14" s="151"/>
    </row>
    <row r="15" spans="1:156" ht="14.25" customHeight="1">
      <c r="A15" s="7" t="s">
        <v>405</v>
      </c>
      <c r="B15" s="21" t="s">
        <v>402</v>
      </c>
      <c r="C15" s="22" t="s">
        <v>3</v>
      </c>
      <c r="D15" s="23" t="s">
        <v>20</v>
      </c>
      <c r="E15" s="21" t="s">
        <v>22</v>
      </c>
      <c r="F15" s="21">
        <v>33</v>
      </c>
      <c r="G15" s="6"/>
      <c r="H15" s="24"/>
      <c r="I15" s="181"/>
      <c r="J15" s="182"/>
      <c r="K15" s="182"/>
      <c r="L15" s="182"/>
      <c r="M15" s="182"/>
      <c r="N15" s="182"/>
      <c r="O15" s="180"/>
      <c r="P15" s="182"/>
      <c r="Q15" s="182"/>
      <c r="R15" s="182"/>
      <c r="S15" s="182"/>
      <c r="T15" s="182"/>
      <c r="U15" s="182"/>
      <c r="V15" s="182"/>
      <c r="W15" s="182"/>
      <c r="X15" s="188"/>
      <c r="Y15" s="201"/>
      <c r="Z15" s="182"/>
      <c r="AA15" s="182"/>
      <c r="AB15" s="182"/>
      <c r="AC15" s="182"/>
      <c r="AD15" s="182"/>
      <c r="AE15" s="182"/>
      <c r="AF15" s="188"/>
      <c r="AG15" s="201"/>
      <c r="AH15" s="182"/>
      <c r="AI15" s="182"/>
      <c r="AJ15" s="202"/>
      <c r="AK15" s="181"/>
      <c r="AL15" s="182"/>
      <c r="AM15" s="182"/>
      <c r="AN15" s="188"/>
      <c r="AO15" s="258"/>
      <c r="AP15" s="154"/>
      <c r="AQ15" s="154"/>
      <c r="AR15" s="154"/>
      <c r="AS15" s="339"/>
      <c r="AT15" s="202"/>
      <c r="AU15" s="201"/>
      <c r="AV15" s="202"/>
      <c r="AW15" s="201"/>
      <c r="AX15" s="202"/>
      <c r="AY15" s="128"/>
      <c r="AZ15" s="129"/>
      <c r="BA15" s="129"/>
      <c r="BB15" s="129"/>
      <c r="BC15" s="125"/>
      <c r="BD15" s="126"/>
      <c r="BE15" s="127"/>
      <c r="BF15" s="127"/>
      <c r="BG15" s="195"/>
      <c r="BH15" s="154"/>
      <c r="BI15" s="154"/>
      <c r="BJ15" s="201"/>
      <c r="BK15" s="154"/>
      <c r="BL15" s="154"/>
      <c r="BM15" s="154"/>
      <c r="BN15" s="154"/>
      <c r="BO15" s="154"/>
      <c r="BP15" s="154"/>
      <c r="BQ15" s="154"/>
      <c r="BR15" s="154"/>
      <c r="BS15" s="154"/>
      <c r="BT15" s="154"/>
      <c r="BU15" s="154"/>
      <c r="BV15" s="154"/>
      <c r="BW15" s="154"/>
      <c r="BX15" s="154"/>
      <c r="BY15" s="213"/>
      <c r="BZ15" s="213"/>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5"/>
      <c r="CW15" s="155"/>
      <c r="CX15" s="64"/>
      <c r="CY15" s="155"/>
      <c r="CZ15" s="155"/>
      <c r="DA15" s="155"/>
      <c r="DB15" s="146"/>
      <c r="DC15" s="320"/>
      <c r="DD15" s="155"/>
      <c r="DE15" s="155"/>
      <c r="DF15" s="155"/>
      <c r="DG15" s="155"/>
      <c r="DH15" s="154"/>
      <c r="DI15" s="154"/>
      <c r="DJ15" s="154"/>
      <c r="DK15" s="154"/>
      <c r="DL15" s="154"/>
      <c r="DM15" s="155"/>
      <c r="DN15" s="155"/>
      <c r="DO15" s="155"/>
      <c r="DP15" s="155"/>
      <c r="DQ15" s="155"/>
      <c r="DR15" s="155"/>
      <c r="DS15" s="155"/>
      <c r="DT15" s="155"/>
      <c r="DU15" s="155"/>
      <c r="DV15" s="635"/>
      <c r="DW15" s="635"/>
      <c r="DX15" s="635"/>
      <c r="DY15" s="635"/>
      <c r="DZ15" s="155"/>
      <c r="EA15" s="155"/>
      <c r="EB15" s="154"/>
      <c r="EC15" s="154"/>
      <c r="ED15" s="154"/>
      <c r="EE15" s="154"/>
      <c r="EF15" s="154"/>
      <c r="EG15" s="154"/>
      <c r="EH15" s="154"/>
      <c r="EI15" s="154"/>
      <c r="EJ15" s="154"/>
      <c r="EK15" s="154"/>
      <c r="EL15" s="154"/>
      <c r="EM15" s="154"/>
      <c r="EN15" s="154"/>
      <c r="EO15" s="987"/>
      <c r="EP15" s="987"/>
      <c r="EQ15" s="987"/>
      <c r="ER15" s="987"/>
      <c r="ES15" s="997"/>
      <c r="ET15" s="1141"/>
      <c r="EU15" s="1141"/>
      <c r="EV15" s="1154"/>
      <c r="EW15" s="1154"/>
      <c r="EX15" s="154"/>
      <c r="EY15" s="154"/>
      <c r="EZ15" s="154"/>
    </row>
    <row r="16" spans="1:156" ht="14.25" customHeight="1">
      <c r="A16" s="7" t="s">
        <v>404</v>
      </c>
      <c r="B16" s="21" t="s">
        <v>402</v>
      </c>
      <c r="C16" s="22" t="s">
        <v>3</v>
      </c>
      <c r="D16" s="23" t="s">
        <v>20</v>
      </c>
      <c r="E16" s="21" t="s">
        <v>20</v>
      </c>
      <c r="F16" s="21">
        <v>31</v>
      </c>
      <c r="G16" s="6"/>
      <c r="H16" s="24"/>
      <c r="I16" s="181"/>
      <c r="J16" s="182"/>
      <c r="K16" s="182"/>
      <c r="L16" s="182"/>
      <c r="M16" s="182"/>
      <c r="N16" s="182"/>
      <c r="O16" s="180"/>
      <c r="P16" s="182"/>
      <c r="Q16" s="182"/>
      <c r="R16" s="182"/>
      <c r="S16" s="182"/>
      <c r="T16" s="182"/>
      <c r="U16" s="182"/>
      <c r="V16" s="182"/>
      <c r="W16" s="182"/>
      <c r="X16" s="188"/>
      <c r="Y16" s="201"/>
      <c r="Z16" s="182"/>
      <c r="AA16" s="182"/>
      <c r="AB16" s="182"/>
      <c r="AC16" s="182"/>
      <c r="AD16" s="182"/>
      <c r="AE16" s="182"/>
      <c r="AF16" s="188"/>
      <c r="AG16" s="201"/>
      <c r="AH16" s="182"/>
      <c r="AI16" s="182"/>
      <c r="AJ16" s="202"/>
      <c r="AK16" s="181"/>
      <c r="AL16" s="182"/>
      <c r="AM16" s="182"/>
      <c r="AN16" s="188"/>
      <c r="AO16" s="258"/>
      <c r="AP16" s="154"/>
      <c r="AQ16" s="154"/>
      <c r="AR16" s="154"/>
      <c r="AS16" s="339"/>
      <c r="AT16" s="202"/>
      <c r="AU16" s="201"/>
      <c r="AV16" s="202"/>
      <c r="AW16" s="201"/>
      <c r="AX16" s="202"/>
      <c r="AY16" s="126"/>
      <c r="AZ16" s="127"/>
      <c r="BA16" s="127"/>
      <c r="BB16" s="127"/>
      <c r="BC16" s="125"/>
      <c r="BD16" s="126"/>
      <c r="BE16" s="127"/>
      <c r="BF16" s="127"/>
      <c r="BG16" s="195"/>
      <c r="BH16" s="154"/>
      <c r="BI16" s="154"/>
      <c r="BJ16" s="201"/>
      <c r="BK16" s="154"/>
      <c r="BL16" s="154"/>
      <c r="BM16" s="154"/>
      <c r="BN16" s="154"/>
      <c r="BO16" s="154"/>
      <c r="BP16" s="154"/>
      <c r="BQ16" s="154"/>
      <c r="BR16" s="154"/>
      <c r="BS16" s="154"/>
      <c r="BT16" s="153"/>
      <c r="BU16" s="153"/>
      <c r="BV16" s="154"/>
      <c r="BW16" s="154"/>
      <c r="BX16" s="154"/>
      <c r="BY16" s="172"/>
      <c r="BZ16" s="156"/>
      <c r="CA16" s="154"/>
      <c r="CB16" s="154"/>
      <c r="CC16" s="154"/>
      <c r="CD16" s="154"/>
      <c r="CE16" s="154"/>
      <c r="CF16" s="154"/>
      <c r="CG16" s="154"/>
      <c r="CH16" s="154"/>
      <c r="CI16" s="154"/>
      <c r="CJ16" s="154"/>
      <c r="CK16" s="154"/>
      <c r="CL16" s="154"/>
      <c r="CM16" s="154"/>
      <c r="CN16" s="154"/>
      <c r="CO16" s="156"/>
      <c r="CP16" s="154"/>
      <c r="CQ16" s="154"/>
      <c r="CR16" s="154"/>
      <c r="CS16" s="156"/>
      <c r="CT16" s="156"/>
      <c r="CU16" s="156"/>
      <c r="CV16" s="155"/>
      <c r="CW16" s="155"/>
      <c r="CX16" s="64"/>
      <c r="CY16" s="155"/>
      <c r="CZ16" s="155"/>
      <c r="DA16" s="155"/>
      <c r="DB16" s="146"/>
      <c r="DC16" s="320"/>
      <c r="DD16" s="155"/>
      <c r="DE16" s="155"/>
      <c r="DF16" s="155"/>
      <c r="DG16" s="155"/>
      <c r="DH16" s="154"/>
      <c r="DI16" s="154"/>
      <c r="DJ16" s="154"/>
      <c r="DK16" s="154"/>
      <c r="DL16" s="154"/>
      <c r="DM16" s="155"/>
      <c r="DN16" s="155"/>
      <c r="DO16" s="155"/>
      <c r="DP16" s="155"/>
      <c r="DQ16" s="155"/>
      <c r="DR16" s="155"/>
      <c r="DS16" s="155"/>
      <c r="DT16" s="155"/>
      <c r="DU16" s="155"/>
      <c r="DV16" s="635"/>
      <c r="DW16" s="635"/>
      <c r="DX16" s="635"/>
      <c r="DY16" s="635"/>
      <c r="DZ16" s="155"/>
      <c r="EA16" s="155"/>
      <c r="EB16" s="154"/>
      <c r="EC16" s="154"/>
      <c r="ED16" s="154"/>
      <c r="EE16" s="154"/>
      <c r="EF16" s="154"/>
      <c r="EG16" s="154"/>
      <c r="EH16" s="154"/>
      <c r="EI16" s="154"/>
      <c r="EJ16" s="154"/>
      <c r="EK16" s="154"/>
      <c r="EL16" s="154"/>
      <c r="EM16" s="154"/>
      <c r="EN16" s="154"/>
      <c r="EO16" s="987"/>
      <c r="EP16" s="987"/>
      <c r="EQ16" s="987"/>
      <c r="ER16" s="987"/>
      <c r="ES16" s="997"/>
      <c r="ET16" s="1141"/>
      <c r="EU16" s="1141"/>
      <c r="EV16" s="1154"/>
      <c r="EW16" s="1154"/>
      <c r="EX16" s="154"/>
      <c r="EY16" s="154"/>
      <c r="EZ16" s="154"/>
    </row>
    <row r="17" spans="1:156" ht="14.25" customHeight="1">
      <c r="A17" s="7" t="s">
        <v>143</v>
      </c>
      <c r="B17" s="21" t="s">
        <v>402</v>
      </c>
      <c r="C17" s="22" t="s">
        <v>3</v>
      </c>
      <c r="D17" s="23" t="s">
        <v>82</v>
      </c>
      <c r="E17" s="21" t="s">
        <v>82</v>
      </c>
      <c r="F17" s="21" t="s">
        <v>138</v>
      </c>
      <c r="G17" s="6"/>
      <c r="H17" s="24"/>
      <c r="I17" s="181"/>
      <c r="J17" s="182"/>
      <c r="K17" s="182"/>
      <c r="L17" s="182"/>
      <c r="M17" s="182"/>
      <c r="N17" s="182"/>
      <c r="O17" s="182"/>
      <c r="P17" s="182"/>
      <c r="Q17" s="182"/>
      <c r="R17" s="182"/>
      <c r="S17" s="182"/>
      <c r="T17" s="182"/>
      <c r="U17" s="182"/>
      <c r="V17" s="182"/>
      <c r="W17" s="182"/>
      <c r="X17" s="188"/>
      <c r="Y17" s="201"/>
      <c r="Z17" s="182"/>
      <c r="AA17" s="182"/>
      <c r="AB17" s="182"/>
      <c r="AC17" s="182"/>
      <c r="AD17" s="182"/>
      <c r="AE17" s="182"/>
      <c r="AF17" s="188"/>
      <c r="AG17" s="201"/>
      <c r="AH17" s="182"/>
      <c r="AI17" s="182"/>
      <c r="AJ17" s="202"/>
      <c r="AK17" s="181"/>
      <c r="AL17" s="182"/>
      <c r="AM17" s="182"/>
      <c r="AN17" s="188"/>
      <c r="AO17" s="258"/>
      <c r="AP17" s="154"/>
      <c r="AQ17" s="153"/>
      <c r="AR17" s="154"/>
      <c r="AS17" s="338"/>
      <c r="AT17" s="208"/>
      <c r="AU17" s="199"/>
      <c r="AV17" s="208"/>
      <c r="AW17" s="199"/>
      <c r="AX17" s="208"/>
      <c r="AY17" s="128"/>
      <c r="AZ17" s="129"/>
      <c r="BA17" s="129"/>
      <c r="BB17" s="129"/>
      <c r="BC17" s="125"/>
      <c r="BD17" s="126"/>
      <c r="BE17" s="127"/>
      <c r="BF17" s="127"/>
      <c r="BG17" s="195"/>
      <c r="BH17" s="154"/>
      <c r="BI17" s="154"/>
      <c r="BJ17" s="199"/>
      <c r="BK17" s="153"/>
      <c r="BL17" s="153"/>
      <c r="BM17" s="153"/>
      <c r="BN17" s="153"/>
      <c r="BO17" s="153"/>
      <c r="BP17" s="153"/>
      <c r="BQ17" s="153"/>
      <c r="BR17" s="153"/>
      <c r="BS17" s="153"/>
      <c r="BT17" s="153"/>
      <c r="BU17" s="153"/>
      <c r="BV17" s="153"/>
      <c r="BW17" s="153"/>
      <c r="BX17" s="153"/>
      <c r="BY17" s="173"/>
      <c r="BZ17" s="173"/>
      <c r="CA17" s="153"/>
      <c r="CB17" s="153"/>
      <c r="CC17" s="153"/>
      <c r="CD17" s="153"/>
      <c r="CE17" s="153"/>
      <c r="CF17" s="153"/>
      <c r="CG17" s="153"/>
      <c r="CH17" s="153"/>
      <c r="CI17" s="153"/>
      <c r="CJ17" s="153"/>
      <c r="CK17" s="153"/>
      <c r="CL17" s="153"/>
      <c r="CM17" s="153"/>
      <c r="CN17" s="153"/>
      <c r="CO17" s="153"/>
      <c r="CP17" s="153"/>
      <c r="CQ17" s="153"/>
      <c r="CR17" s="153"/>
      <c r="CS17" s="153"/>
      <c r="CT17" s="153"/>
      <c r="CU17" s="153"/>
      <c r="CV17" s="155"/>
      <c r="CW17" s="155"/>
      <c r="CX17" s="64"/>
      <c r="CY17" s="155"/>
      <c r="CZ17" s="155"/>
      <c r="DA17" s="155"/>
      <c r="DB17" s="319"/>
      <c r="DC17" s="325"/>
      <c r="DD17" s="155"/>
      <c r="DE17" s="326"/>
      <c r="DF17" s="326"/>
      <c r="DG17" s="155"/>
      <c r="DH17" s="153"/>
      <c r="DI17" s="153"/>
      <c r="DJ17" s="153"/>
      <c r="DK17" s="153"/>
      <c r="DL17" s="153"/>
      <c r="DM17" s="155"/>
      <c r="DN17" s="155"/>
      <c r="DO17" s="155"/>
      <c r="DP17" s="155"/>
      <c r="DQ17" s="155"/>
      <c r="DR17" s="155"/>
      <c r="DS17" s="155"/>
      <c r="DT17" s="155"/>
      <c r="DU17" s="155"/>
      <c r="DV17" s="635"/>
      <c r="DW17" s="635"/>
      <c r="DX17" s="635"/>
      <c r="DY17" s="635"/>
      <c r="DZ17" s="155"/>
      <c r="EA17" s="155"/>
      <c r="EB17" s="154"/>
      <c r="EC17" s="154"/>
      <c r="ED17" s="154"/>
      <c r="EE17" s="154"/>
      <c r="EF17" s="154"/>
      <c r="EG17" s="154"/>
      <c r="EH17" s="154"/>
      <c r="EI17" s="154"/>
      <c r="EJ17" s="154"/>
      <c r="EK17" s="154"/>
      <c r="EL17" s="154"/>
      <c r="EM17" s="154"/>
      <c r="EN17" s="154"/>
      <c r="EO17" s="319"/>
      <c r="EP17" s="319"/>
      <c r="EQ17" s="319"/>
      <c r="ER17" s="319"/>
      <c r="ES17" s="338"/>
      <c r="ET17" s="1141"/>
      <c r="EU17" s="1141"/>
      <c r="EV17" s="1154"/>
      <c r="EW17" s="1154"/>
      <c r="EX17" s="154"/>
      <c r="EY17" s="154"/>
      <c r="EZ17" s="154"/>
    </row>
    <row r="18" spans="1:156" ht="14.25" customHeight="1" thickBot="1">
      <c r="A18" s="74" t="s">
        <v>0</v>
      </c>
      <c r="B18" s="75" t="s">
        <v>402</v>
      </c>
      <c r="C18" s="76" t="s">
        <v>4</v>
      </c>
      <c r="D18" s="77"/>
      <c r="E18" s="78"/>
      <c r="F18" s="78"/>
      <c r="G18" s="79"/>
      <c r="H18" s="80"/>
      <c r="I18" s="183">
        <f t="shared" ref="I18:AT18" si="4">SUBTOTAL(9,I14:I17)</f>
        <v>0</v>
      </c>
      <c r="J18" s="183">
        <f t="shared" si="4"/>
        <v>0</v>
      </c>
      <c r="K18" s="183">
        <f t="shared" si="4"/>
        <v>0</v>
      </c>
      <c r="L18" s="183">
        <f t="shared" si="4"/>
        <v>0</v>
      </c>
      <c r="M18" s="183">
        <f t="shared" si="4"/>
        <v>0</v>
      </c>
      <c r="N18" s="183">
        <f t="shared" si="4"/>
        <v>0</v>
      </c>
      <c r="O18" s="183">
        <f t="shared" si="4"/>
        <v>0</v>
      </c>
      <c r="P18" s="183">
        <f t="shared" si="4"/>
        <v>0</v>
      </c>
      <c r="Q18" s="183">
        <f t="shared" si="4"/>
        <v>0</v>
      </c>
      <c r="R18" s="183">
        <f t="shared" si="4"/>
        <v>0</v>
      </c>
      <c r="S18" s="183">
        <f t="shared" si="4"/>
        <v>0</v>
      </c>
      <c r="T18" s="183">
        <f t="shared" si="4"/>
        <v>0</v>
      </c>
      <c r="U18" s="183">
        <f t="shared" si="4"/>
        <v>0</v>
      </c>
      <c r="V18" s="183">
        <f t="shared" si="4"/>
        <v>0</v>
      </c>
      <c r="W18" s="183">
        <f t="shared" si="4"/>
        <v>0</v>
      </c>
      <c r="X18" s="183">
        <f t="shared" si="4"/>
        <v>0</v>
      </c>
      <c r="Y18" s="183">
        <f t="shared" si="4"/>
        <v>0</v>
      </c>
      <c r="Z18" s="183">
        <f t="shared" si="4"/>
        <v>0</v>
      </c>
      <c r="AA18" s="183">
        <f t="shared" si="4"/>
        <v>0</v>
      </c>
      <c r="AB18" s="183">
        <f t="shared" si="4"/>
        <v>0</v>
      </c>
      <c r="AC18" s="183">
        <f t="shared" si="4"/>
        <v>0</v>
      </c>
      <c r="AD18" s="183">
        <f t="shared" si="4"/>
        <v>0</v>
      </c>
      <c r="AE18" s="183">
        <f t="shared" si="4"/>
        <v>0</v>
      </c>
      <c r="AF18" s="183">
        <f t="shared" si="4"/>
        <v>0</v>
      </c>
      <c r="AG18" s="183">
        <f t="shared" si="4"/>
        <v>0</v>
      </c>
      <c r="AH18" s="183">
        <f t="shared" si="4"/>
        <v>0</v>
      </c>
      <c r="AI18" s="183">
        <f t="shared" si="4"/>
        <v>0</v>
      </c>
      <c r="AJ18" s="183">
        <f t="shared" si="4"/>
        <v>0</v>
      </c>
      <c r="AK18" s="183">
        <f t="shared" si="4"/>
        <v>0</v>
      </c>
      <c r="AL18" s="183">
        <f t="shared" si="4"/>
        <v>0</v>
      </c>
      <c r="AM18" s="183">
        <f t="shared" si="4"/>
        <v>0</v>
      </c>
      <c r="AN18" s="183">
        <f t="shared" si="4"/>
        <v>0</v>
      </c>
      <c r="AO18" s="183">
        <f t="shared" si="4"/>
        <v>0</v>
      </c>
      <c r="AP18" s="183">
        <f t="shared" si="4"/>
        <v>0</v>
      </c>
      <c r="AQ18" s="183">
        <f t="shared" si="4"/>
        <v>0</v>
      </c>
      <c r="AR18" s="183">
        <f t="shared" si="4"/>
        <v>0</v>
      </c>
      <c r="AS18" s="183">
        <f t="shared" si="4"/>
        <v>0</v>
      </c>
      <c r="AT18" s="183">
        <f t="shared" si="4"/>
        <v>0</v>
      </c>
      <c r="AU18" s="203"/>
      <c r="AV18" s="132"/>
      <c r="AW18" s="203"/>
      <c r="AX18" s="132"/>
      <c r="AY18" s="183">
        <f>SUBTOTAL(9,AY14:AY17)</f>
        <v>0</v>
      </c>
      <c r="AZ18" s="183">
        <f>SUBTOTAL(9,AZ14:AZ17)</f>
        <v>0</v>
      </c>
      <c r="BA18" s="183">
        <f>SUBTOTAL(9,BA14:BA17)</f>
        <v>0</v>
      </c>
      <c r="BB18" s="183">
        <f>SUBTOTAL(9,BB14:BB17)</f>
        <v>0</v>
      </c>
      <c r="BC18" s="183">
        <f>SUBTOTAL(9,BC14:BC17)</f>
        <v>0</v>
      </c>
      <c r="BD18" s="204" t="str">
        <f>IF(ISNUMBER(BA18/AZ18),BA18/AZ18," - ")</f>
        <v xml:space="preserve"> - </v>
      </c>
      <c r="BE18" s="205" t="str">
        <f>IF(ISNUMBER(BB18/BA18),BB18/BA18, " - ")</f>
        <v xml:space="preserve"> - </v>
      </c>
      <c r="BF18" s="205" t="str">
        <f>IF(ISNUMBER(BC18/BA18),BC18/BA18, " - ")</f>
        <v xml:space="preserve"> - </v>
      </c>
      <c r="BG18" s="206" t="str">
        <f>IF(ISNUMBER((AY18+AZ18)/BA18),(AY18+AZ18)/BA18," - ")</f>
        <v xml:space="preserve"> - </v>
      </c>
      <c r="BH18" s="183">
        <f>SUBTOTAL(9,BH14:BH17)</f>
        <v>0</v>
      </c>
      <c r="BI18" s="183">
        <f>SUBTOTAL(9,BI14:BI17)</f>
        <v>0</v>
      </c>
      <c r="BJ18" s="183">
        <f>SUBTOTAL(9,BJ14:BJ17)</f>
        <v>0</v>
      </c>
      <c r="BK18" s="183">
        <f>SUBTOTAL(9,BK14:BK17)</f>
        <v>0</v>
      </c>
      <c r="BL18" s="183">
        <f>SUBTOTAL(9,BL14:BL17)</f>
        <v>0</v>
      </c>
      <c r="BM18" s="139" t="e">
        <f>AVERAGE(BM15:BM17)</f>
        <v>#DIV/0!</v>
      </c>
      <c r="BN18" s="150"/>
      <c r="BO18" s="150"/>
      <c r="BP18" s="150"/>
      <c r="BQ18" s="150"/>
      <c r="BR18" s="150"/>
      <c r="BS18" s="150"/>
      <c r="BT18" s="150"/>
      <c r="BU18" s="150"/>
      <c r="BV18" s="183"/>
      <c r="BW18" s="183"/>
      <c r="BX18" s="183"/>
      <c r="BY18" s="150"/>
      <c r="BZ18" s="150"/>
      <c r="CA18" s="183">
        <f t="shared" ref="CA18:CL18" si="5">SUBTOTAL(9,CA14:CA17)</f>
        <v>0</v>
      </c>
      <c r="CB18" s="183">
        <f t="shared" si="5"/>
        <v>0</v>
      </c>
      <c r="CC18" s="183">
        <f t="shared" si="5"/>
        <v>0</v>
      </c>
      <c r="CD18" s="183">
        <f t="shared" si="5"/>
        <v>0</v>
      </c>
      <c r="CE18" s="183">
        <f t="shared" si="5"/>
        <v>0</v>
      </c>
      <c r="CF18" s="183">
        <f t="shared" si="5"/>
        <v>0</v>
      </c>
      <c r="CG18" s="183">
        <f t="shared" si="5"/>
        <v>0</v>
      </c>
      <c r="CH18" s="183">
        <f t="shared" si="5"/>
        <v>0</v>
      </c>
      <c r="CI18" s="183">
        <f t="shared" si="5"/>
        <v>0</v>
      </c>
      <c r="CJ18" s="183">
        <f t="shared" si="5"/>
        <v>0</v>
      </c>
      <c r="CK18" s="183">
        <f t="shared" si="5"/>
        <v>0</v>
      </c>
      <c r="CL18" s="183">
        <f t="shared" si="5"/>
        <v>0</v>
      </c>
      <c r="CM18" s="295"/>
      <c r="CN18" s="150"/>
      <c r="CO18" s="150"/>
      <c r="CP18" s="150"/>
      <c r="CQ18" s="150"/>
      <c r="CR18" s="150"/>
      <c r="CS18" s="150"/>
      <c r="CT18" s="150"/>
      <c r="CU18" s="150"/>
      <c r="CV18" s="183">
        <f>SUBTOTAL(9,CV15:CV17)</f>
        <v>0</v>
      </c>
      <c r="CW18" s="183">
        <f>SUBTOTAL(9,CW15:CW17)</f>
        <v>0</v>
      </c>
      <c r="CX18" s="183"/>
      <c r="CY18" s="183">
        <f t="shared" ref="CY18:ER18" si="6">SUBTOTAL(9,CY15:CY17)</f>
        <v>0</v>
      </c>
      <c r="CZ18" s="183">
        <f t="shared" si="6"/>
        <v>0</v>
      </c>
      <c r="DA18" s="183">
        <f t="shared" si="6"/>
        <v>0</v>
      </c>
      <c r="DB18" s="183">
        <f t="shared" si="6"/>
        <v>0</v>
      </c>
      <c r="DC18" s="183">
        <f t="shared" si="6"/>
        <v>0</v>
      </c>
      <c r="DD18" s="183">
        <f t="shared" si="6"/>
        <v>0</v>
      </c>
      <c r="DE18" s="183">
        <f t="shared" si="6"/>
        <v>0</v>
      </c>
      <c r="DF18" s="183">
        <f t="shared" si="6"/>
        <v>0</v>
      </c>
      <c r="DG18" s="183">
        <f t="shared" si="6"/>
        <v>0</v>
      </c>
      <c r="DH18" s="183">
        <f t="shared" si="6"/>
        <v>0</v>
      </c>
      <c r="DI18" s="183">
        <f t="shared" si="6"/>
        <v>0</v>
      </c>
      <c r="DJ18" s="183">
        <f t="shared" si="6"/>
        <v>0</v>
      </c>
      <c r="DK18" s="183">
        <f t="shared" si="6"/>
        <v>0</v>
      </c>
      <c r="DL18" s="183">
        <f t="shared" si="6"/>
        <v>0</v>
      </c>
      <c r="DM18" s="183">
        <f t="shared" si="6"/>
        <v>0</v>
      </c>
      <c r="DN18" s="183">
        <f t="shared" si="6"/>
        <v>0</v>
      </c>
      <c r="DO18" s="183">
        <f t="shared" si="6"/>
        <v>0</v>
      </c>
      <c r="DP18" s="183">
        <f t="shared" si="6"/>
        <v>0</v>
      </c>
      <c r="DQ18" s="183">
        <f t="shared" si="6"/>
        <v>0</v>
      </c>
      <c r="DR18" s="183">
        <f t="shared" si="6"/>
        <v>0</v>
      </c>
      <c r="DS18" s="183">
        <f t="shared" si="6"/>
        <v>0</v>
      </c>
      <c r="DT18" s="183">
        <f t="shared" si="6"/>
        <v>0</v>
      </c>
      <c r="DU18" s="183">
        <f t="shared" si="6"/>
        <v>0</v>
      </c>
      <c r="DV18" s="637">
        <f t="shared" si="6"/>
        <v>0</v>
      </c>
      <c r="DW18" s="637">
        <f t="shared" si="6"/>
        <v>0</v>
      </c>
      <c r="DX18" s="637">
        <f t="shared" si="6"/>
        <v>0</v>
      </c>
      <c r="DY18" s="637">
        <f t="shared" si="6"/>
        <v>0</v>
      </c>
      <c r="DZ18" s="183">
        <f t="shared" si="6"/>
        <v>0</v>
      </c>
      <c r="EA18" s="183">
        <f t="shared" si="6"/>
        <v>0</v>
      </c>
      <c r="EB18" s="183">
        <f t="shared" si="6"/>
        <v>0</v>
      </c>
      <c r="EC18" s="183">
        <f t="shared" si="6"/>
        <v>0</v>
      </c>
      <c r="ED18" s="183">
        <f t="shared" si="6"/>
        <v>0</v>
      </c>
      <c r="EE18" s="183">
        <f t="shared" si="6"/>
        <v>0</v>
      </c>
      <c r="EF18" s="183">
        <f t="shared" si="6"/>
        <v>0</v>
      </c>
      <c r="EG18" s="183">
        <f t="shared" si="6"/>
        <v>0</v>
      </c>
      <c r="EH18" s="183">
        <f t="shared" si="6"/>
        <v>0</v>
      </c>
      <c r="EI18" s="183">
        <f t="shared" si="6"/>
        <v>0</v>
      </c>
      <c r="EJ18" s="183">
        <f t="shared" si="6"/>
        <v>0</v>
      </c>
      <c r="EK18" s="183">
        <f t="shared" si="6"/>
        <v>0</v>
      </c>
      <c r="EL18" s="183">
        <f t="shared" si="6"/>
        <v>0</v>
      </c>
      <c r="EM18" s="183">
        <f t="shared" si="6"/>
        <v>0</v>
      </c>
      <c r="EN18" s="183">
        <f t="shared" si="6"/>
        <v>0</v>
      </c>
      <c r="EO18" s="183">
        <f t="shared" si="6"/>
        <v>0</v>
      </c>
      <c r="EP18" s="183">
        <f t="shared" si="6"/>
        <v>0</v>
      </c>
      <c r="EQ18" s="183">
        <f t="shared" si="6"/>
        <v>0</v>
      </c>
      <c r="ER18" s="183">
        <f t="shared" si="6"/>
        <v>0</v>
      </c>
      <c r="ES18" s="637"/>
      <c r="ET18" s="139"/>
      <c r="EU18" s="1143"/>
      <c r="EV18" s="150">
        <f>SUBTOTAL(9,EV15:EV17)</f>
        <v>0</v>
      </c>
      <c r="EW18" s="150">
        <f>SUBTOTAL(9,EW15:EW17)</f>
        <v>0</v>
      </c>
      <c r="EX18" s="150">
        <f>SUBTOTAL(9,EX15:EX17)</f>
        <v>0</v>
      </c>
      <c r="EY18" s="150">
        <f>SUBTOTAL(9,EY15:EY17)</f>
        <v>0</v>
      </c>
      <c r="EZ18" s="150"/>
    </row>
    <row r="19" spans="1:156" ht="14.25" customHeight="1" thickBot="1">
      <c r="A19" s="89" t="s">
        <v>1</v>
      </c>
      <c r="B19" s="90"/>
      <c r="C19" s="91" t="s">
        <v>25</v>
      </c>
      <c r="D19" s="92"/>
      <c r="E19" s="90"/>
      <c r="F19" s="90"/>
      <c r="G19" s="93"/>
      <c r="H19" s="94"/>
      <c r="I19" s="134">
        <f t="shared" ref="I19:AT19" si="7">SUBTOTAL(9,I9:I18)</f>
        <v>0</v>
      </c>
      <c r="J19" s="134">
        <f t="shared" si="7"/>
        <v>0</v>
      </c>
      <c r="K19" s="134">
        <f t="shared" si="7"/>
        <v>0</v>
      </c>
      <c r="L19" s="134">
        <f t="shared" si="7"/>
        <v>0</v>
      </c>
      <c r="M19" s="134">
        <f t="shared" si="7"/>
        <v>0</v>
      </c>
      <c r="N19" s="134">
        <f t="shared" si="7"/>
        <v>0</v>
      </c>
      <c r="O19" s="134">
        <f t="shared" si="7"/>
        <v>0</v>
      </c>
      <c r="P19" s="134">
        <f t="shared" si="7"/>
        <v>0</v>
      </c>
      <c r="Q19" s="134">
        <f t="shared" si="7"/>
        <v>0</v>
      </c>
      <c r="R19" s="134">
        <f t="shared" si="7"/>
        <v>0</v>
      </c>
      <c r="S19" s="134">
        <f t="shared" si="7"/>
        <v>0</v>
      </c>
      <c r="T19" s="134">
        <f t="shared" si="7"/>
        <v>0</v>
      </c>
      <c r="U19" s="134">
        <f t="shared" si="7"/>
        <v>0</v>
      </c>
      <c r="V19" s="134">
        <f t="shared" si="7"/>
        <v>0</v>
      </c>
      <c r="W19" s="134">
        <f t="shared" si="7"/>
        <v>0</v>
      </c>
      <c r="X19" s="134">
        <f t="shared" si="7"/>
        <v>0</v>
      </c>
      <c r="Y19" s="134">
        <f t="shared" si="7"/>
        <v>0</v>
      </c>
      <c r="Z19" s="134">
        <f t="shared" si="7"/>
        <v>0</v>
      </c>
      <c r="AA19" s="134">
        <f t="shared" si="7"/>
        <v>0</v>
      </c>
      <c r="AB19" s="134">
        <f t="shared" si="7"/>
        <v>0</v>
      </c>
      <c r="AC19" s="134">
        <f t="shared" si="7"/>
        <v>0</v>
      </c>
      <c r="AD19" s="134">
        <f t="shared" si="7"/>
        <v>0</v>
      </c>
      <c r="AE19" s="134">
        <f t="shared" si="7"/>
        <v>0</v>
      </c>
      <c r="AF19" s="134">
        <f t="shared" si="7"/>
        <v>0</v>
      </c>
      <c r="AG19" s="134">
        <f t="shared" si="7"/>
        <v>0</v>
      </c>
      <c r="AH19" s="134">
        <f t="shared" si="7"/>
        <v>0</v>
      </c>
      <c r="AI19" s="134">
        <f t="shared" si="7"/>
        <v>0</v>
      </c>
      <c r="AJ19" s="134">
        <f t="shared" si="7"/>
        <v>0</v>
      </c>
      <c r="AK19" s="134">
        <f t="shared" si="7"/>
        <v>0</v>
      </c>
      <c r="AL19" s="134">
        <f t="shared" si="7"/>
        <v>0</v>
      </c>
      <c r="AM19" s="134">
        <f t="shared" si="7"/>
        <v>0</v>
      </c>
      <c r="AN19" s="209">
        <f t="shared" si="7"/>
        <v>0</v>
      </c>
      <c r="AO19" s="210">
        <f t="shared" si="7"/>
        <v>0</v>
      </c>
      <c r="AP19" s="210">
        <f t="shared" si="7"/>
        <v>0</v>
      </c>
      <c r="AQ19" s="210">
        <f t="shared" si="7"/>
        <v>0</v>
      </c>
      <c r="AR19" s="210">
        <f t="shared" si="7"/>
        <v>0</v>
      </c>
      <c r="AS19" s="152">
        <f t="shared" si="7"/>
        <v>0</v>
      </c>
      <c r="AT19" s="152">
        <f t="shared" si="7"/>
        <v>0</v>
      </c>
      <c r="AU19" s="210"/>
      <c r="AV19" s="211"/>
      <c r="AW19" s="210"/>
      <c r="AX19" s="211"/>
      <c r="AY19" s="133">
        <f>SUBTOTAL(9,AY9:AY18)</f>
        <v>0</v>
      </c>
      <c r="AZ19" s="134">
        <f>SUBTOTAL(9,AZ9:AZ18)</f>
        <v>0</v>
      </c>
      <c r="BA19" s="134">
        <f>SUBTOTAL(9,BA9:BA18)</f>
        <v>0</v>
      </c>
      <c r="BB19" s="134">
        <f>SUBTOTAL(9,BB9:BB18)</f>
        <v>0</v>
      </c>
      <c r="BC19" s="135">
        <f>SUBTOTAL(9,BC9:BC18)</f>
        <v>0</v>
      </c>
      <c r="BD19" s="212" t="str">
        <f>IF(ISNUMBER(BA19/AZ19),BA19/AZ19," - ")</f>
        <v xml:space="preserve"> - </v>
      </c>
      <c r="BE19" s="209" t="str">
        <f>IF(ISNUMBER(BB19/BA19),BB19/BA19, " - ")</f>
        <v xml:space="preserve"> - </v>
      </c>
      <c r="BF19" s="209" t="str">
        <f>IF(ISNUMBER(BC19/BA19),BC19/BA19, " - ")</f>
        <v xml:space="preserve"> - </v>
      </c>
      <c r="BG19" s="135" t="str">
        <f>IF(ISNUMBER((AY19+AZ19)/BA19),(AY19+AZ19)/BA19," - ")</f>
        <v xml:space="preserve"> - </v>
      </c>
      <c r="BH19" s="210">
        <f>SUBTOTAL(9,BH9:BH18)</f>
        <v>0</v>
      </c>
      <c r="BI19" s="210">
        <f>SUBTOTAL(9,BI9:BI18)</f>
        <v>0</v>
      </c>
      <c r="BJ19" s="210"/>
      <c r="BK19" s="210">
        <f>SUBTOTAL(9,BK9:BK18)</f>
        <v>0</v>
      </c>
      <c r="BL19" s="210"/>
      <c r="BM19" s="210" t="e">
        <f>AVERAGE(BM9:BM18)</f>
        <v>#DIV/0!</v>
      </c>
      <c r="BN19" s="210">
        <f t="shared" ref="BN19:BS19" si="8">SUBTOTAL(9,BN9:BN18)</f>
        <v>0</v>
      </c>
      <c r="BO19" s="210">
        <f t="shared" si="8"/>
        <v>0</v>
      </c>
      <c r="BP19" s="210">
        <f t="shared" si="8"/>
        <v>0</v>
      </c>
      <c r="BQ19" s="210">
        <f t="shared" si="8"/>
        <v>0</v>
      </c>
      <c r="BR19" s="210">
        <f t="shared" si="8"/>
        <v>0</v>
      </c>
      <c r="BS19" s="210">
        <f t="shared" si="8"/>
        <v>0</v>
      </c>
      <c r="BT19" s="210" t="e">
        <f>AVERAGE(BT9:BT18)</f>
        <v>#DIV/0!</v>
      </c>
      <c r="BU19" s="210" t="e">
        <f>AVERAGE(BU9:BU18)</f>
        <v>#DIV/0!</v>
      </c>
      <c r="BV19" s="210"/>
      <c r="BW19" s="210"/>
      <c r="BX19" s="210"/>
      <c r="BY19" s="152"/>
      <c r="BZ19" s="152"/>
      <c r="CA19" s="210"/>
      <c r="CB19" s="210"/>
      <c r="CC19" s="210"/>
      <c r="CD19" s="210"/>
      <c r="CE19" s="210"/>
      <c r="CF19" s="210"/>
      <c r="CG19" s="210"/>
      <c r="CH19" s="210"/>
      <c r="CI19" s="210">
        <f>SUM(CI9:CI18)</f>
        <v>0</v>
      </c>
      <c r="CJ19" s="210">
        <f>SUM(CJ9:CJ18)</f>
        <v>0</v>
      </c>
      <c r="CK19" s="210">
        <f>SUM(CK9:CK18)</f>
        <v>0</v>
      </c>
      <c r="CL19" s="210">
        <f>SUM(CL9:CL18)</f>
        <v>0</v>
      </c>
      <c r="CM19" s="210"/>
      <c r="CN19" s="210" t="e">
        <f>SUBTOTAL(9,CN9:CN18)</f>
        <v>#DIV/0!</v>
      </c>
      <c r="CO19" s="210">
        <f>SUBTOTAL(9,CO9:CO18)</f>
        <v>0</v>
      </c>
      <c r="CP19" s="210">
        <f>SUBTOTAL(9,CP9:CP18)</f>
        <v>0</v>
      </c>
      <c r="CQ19" s="152"/>
      <c r="CR19" s="152"/>
      <c r="CS19" s="152"/>
      <c r="CT19" s="152"/>
      <c r="CU19" s="152"/>
      <c r="CV19" s="152"/>
      <c r="CW19" s="152"/>
      <c r="CX19" s="116"/>
      <c r="CY19" s="152"/>
      <c r="CZ19" s="152"/>
      <c r="DA19" s="152"/>
      <c r="DB19" s="327">
        <f>SUBTOTAL(9,DB9:DB18)</f>
        <v>0</v>
      </c>
      <c r="DC19" s="327">
        <f>SUBTOTAL(9,DC9:DC18)</f>
        <v>0</v>
      </c>
      <c r="DD19" s="327">
        <f>SUBTOTAL(9,DD9:DD18)</f>
        <v>0</v>
      </c>
      <c r="DE19" s="327">
        <f>SUBTOTAL(9,DE9:DE18)</f>
        <v>0</v>
      </c>
      <c r="DF19" s="327">
        <f>SUBTOTAL(9,DF9:DF18)</f>
        <v>0</v>
      </c>
      <c r="DG19" s="152"/>
      <c r="DH19" s="152"/>
      <c r="DI19" s="152"/>
      <c r="DJ19" s="152"/>
      <c r="DK19" s="152"/>
      <c r="DL19" s="152"/>
      <c r="DM19" s="152">
        <f t="shared" ref="DM19:ER19" si="9">SUBTOTAL(9,DM9:DM18)</f>
        <v>0</v>
      </c>
      <c r="DN19" s="152">
        <f t="shared" si="9"/>
        <v>0</v>
      </c>
      <c r="DO19" s="152">
        <f t="shared" si="9"/>
        <v>0</v>
      </c>
      <c r="DP19" s="152">
        <f t="shared" si="9"/>
        <v>0</v>
      </c>
      <c r="DQ19" s="152">
        <f t="shared" si="9"/>
        <v>0</v>
      </c>
      <c r="DR19" s="152">
        <f t="shared" si="9"/>
        <v>0</v>
      </c>
      <c r="DS19" s="152">
        <f t="shared" si="9"/>
        <v>0</v>
      </c>
      <c r="DT19" s="152">
        <f t="shared" si="9"/>
        <v>0</v>
      </c>
      <c r="DU19" s="152">
        <f t="shared" si="9"/>
        <v>0</v>
      </c>
      <c r="DV19" s="152">
        <f t="shared" si="9"/>
        <v>0</v>
      </c>
      <c r="DW19" s="152">
        <f t="shared" si="9"/>
        <v>0</v>
      </c>
      <c r="DX19" s="152">
        <f t="shared" si="9"/>
        <v>0</v>
      </c>
      <c r="DY19" s="152">
        <f t="shared" si="9"/>
        <v>0</v>
      </c>
      <c r="DZ19" s="152">
        <f t="shared" si="9"/>
        <v>0</v>
      </c>
      <c r="EA19" s="152">
        <f t="shared" si="9"/>
        <v>0</v>
      </c>
      <c r="EB19" s="152">
        <f t="shared" si="9"/>
        <v>0</v>
      </c>
      <c r="EC19" s="152">
        <f t="shared" si="9"/>
        <v>0</v>
      </c>
      <c r="ED19" s="152">
        <f t="shared" si="9"/>
        <v>0</v>
      </c>
      <c r="EE19" s="152">
        <f t="shared" si="9"/>
        <v>0</v>
      </c>
      <c r="EF19" s="152">
        <f t="shared" si="9"/>
        <v>0</v>
      </c>
      <c r="EG19" s="152">
        <f t="shared" si="9"/>
        <v>0</v>
      </c>
      <c r="EH19" s="152">
        <f t="shared" si="9"/>
        <v>0</v>
      </c>
      <c r="EI19" s="152">
        <f t="shared" si="9"/>
        <v>0</v>
      </c>
      <c r="EJ19" s="152">
        <f t="shared" si="9"/>
        <v>0</v>
      </c>
      <c r="EK19" s="152">
        <f t="shared" si="9"/>
        <v>0</v>
      </c>
      <c r="EL19" s="152">
        <f t="shared" si="9"/>
        <v>0</v>
      </c>
      <c r="EM19" s="152">
        <f t="shared" si="9"/>
        <v>0</v>
      </c>
      <c r="EN19" s="152">
        <f t="shared" si="9"/>
        <v>0</v>
      </c>
      <c r="EO19" s="152">
        <f t="shared" si="9"/>
        <v>0</v>
      </c>
      <c r="EP19" s="152">
        <f t="shared" si="9"/>
        <v>0</v>
      </c>
      <c r="EQ19" s="152">
        <f t="shared" si="9"/>
        <v>0</v>
      </c>
      <c r="ER19" s="152">
        <f t="shared" si="9"/>
        <v>0</v>
      </c>
      <c r="ES19" s="150">
        <f>AVERAGE(ES9:ES18)</f>
        <v>0</v>
      </c>
      <c r="ET19" s="1143"/>
      <c r="EU19" s="1143"/>
      <c r="EV19" s="150">
        <f>AVERAGE(EV9:EV18)</f>
        <v>0</v>
      </c>
      <c r="EW19" s="150">
        <f>AVERAGE(EW9:EW18)</f>
        <v>0</v>
      </c>
      <c r="EX19" s="152"/>
      <c r="EY19" s="152"/>
      <c r="EZ19" s="152"/>
    </row>
    <row r="20" spans="1:156" ht="13.5" thickBot="1">
      <c r="E20" s="33"/>
    </row>
    <row r="21" spans="1:156" ht="13.5" thickBot="1">
      <c r="D21" s="34"/>
      <c r="E21" s="35" t="s">
        <v>34</v>
      </c>
      <c r="F21" s="35"/>
      <c r="G21" s="36"/>
      <c r="H21" s="37"/>
    </row>
    <row r="22" spans="1:156" ht="13.5" thickBot="1">
      <c r="D22" s="38" t="s">
        <v>26</v>
      </c>
      <c r="E22" s="39"/>
      <c r="F22" s="39"/>
      <c r="G22" s="40"/>
      <c r="H22" s="41"/>
      <c r="AO22" s="65" t="s">
        <v>99</v>
      </c>
    </row>
    <row r="23" spans="1:156">
      <c r="D23" s="42" t="s">
        <v>27</v>
      </c>
      <c r="H23" s="43"/>
    </row>
    <row r="24" spans="1:156">
      <c r="D24" s="42" t="s">
        <v>28</v>
      </c>
      <c r="H24" s="43"/>
    </row>
    <row r="25" spans="1:156" ht="13.5" thickBot="1">
      <c r="D25" s="44" t="s">
        <v>29</v>
      </c>
      <c r="E25" s="45"/>
      <c r="F25" s="45"/>
      <c r="G25" s="46"/>
      <c r="H25" s="47"/>
    </row>
    <row r="26" spans="1:156">
      <c r="J26" s="33"/>
    </row>
    <row r="27" spans="1:156">
      <c r="A27" s="33"/>
    </row>
  </sheetData>
  <sheetProtection algorithmName="SHA-512" hashValue="7u4ckQGL7EqE9bUVyBBVgqmVLMhn5H2UG/zgHIuHVHS/tsSyhinZuKj8h6ohzTKZvE/ZIupZGVwEEBoJ9e1Q9A==" saltValue="3J+ULJRwQSOgoq1pSo6tJA==" spinCount="100000" sheet="1" objects="1" scenarios="1"/>
  <mergeCells count="124">
    <mergeCell ref="EZ5:EZ7"/>
    <mergeCell ref="EY5:EY7"/>
    <mergeCell ref="EX5:EX7"/>
    <mergeCell ref="EV5:EV7"/>
    <mergeCell ref="EW5:EW7"/>
    <mergeCell ref="EO5:EO7"/>
    <mergeCell ref="BR6:BR7"/>
    <mergeCell ref="BS6:BS7"/>
    <mergeCell ref="BT6:BT7"/>
    <mergeCell ref="BU6:BU7"/>
    <mergeCell ref="EJ5:EJ7"/>
    <mergeCell ref="EK5:EK7"/>
    <mergeCell ref="EF5:EF7"/>
    <mergeCell ref="EG5:EG7"/>
    <mergeCell ref="EH5:EH7"/>
    <mergeCell ref="EI5:EI7"/>
    <mergeCell ref="EL5:EN6"/>
    <mergeCell ref="EE5:EE7"/>
    <mergeCell ref="DO5:DO7"/>
    <mergeCell ref="DP5:DP7"/>
    <mergeCell ref="DQ5:DQ7"/>
    <mergeCell ref="DR5:DR7"/>
    <mergeCell ref="DA5:DA7"/>
    <mergeCell ref="DB5:DB7"/>
    <mergeCell ref="CK5:CK7"/>
    <mergeCell ref="CL5:CL7"/>
    <mergeCell ref="CM5:CM7"/>
    <mergeCell ref="CN5:CN7"/>
    <mergeCell ref="CO5:CO7"/>
    <mergeCell ref="CP5:CP7"/>
    <mergeCell ref="CQ5:CQ7"/>
    <mergeCell ref="BZ5:BZ7"/>
    <mergeCell ref="CA5:CA7"/>
    <mergeCell ref="CB5:CB7"/>
    <mergeCell ref="CC5:CC7"/>
    <mergeCell ref="CD5:CD7"/>
    <mergeCell ref="CE5:CE7"/>
    <mergeCell ref="I6:O6"/>
    <mergeCell ref="P6:R6"/>
    <mergeCell ref="S6:X6"/>
    <mergeCell ref="Y6:AB6"/>
    <mergeCell ref="AC6:AF6"/>
    <mergeCell ref="AG6:AJ6"/>
    <mergeCell ref="AK6:AN6"/>
    <mergeCell ref="CI5:CI7"/>
    <mergeCell ref="CJ5:CJ7"/>
    <mergeCell ref="CF5:CF7"/>
    <mergeCell ref="CG5:CG7"/>
    <mergeCell ref="CH5:CH7"/>
    <mergeCell ref="BT5:BU5"/>
    <mergeCell ref="BN6:BN7"/>
    <mergeCell ref="BO6:BO7"/>
    <mergeCell ref="BP6:BP7"/>
    <mergeCell ref="BQ6:BQ7"/>
    <mergeCell ref="BV5:BV7"/>
    <mergeCell ref="BW5:BW7"/>
    <mergeCell ref="BX5:BX7"/>
    <mergeCell ref="BY5:BY7"/>
    <mergeCell ref="BH5:BH7"/>
    <mergeCell ref="BI5:BI7"/>
    <mergeCell ref="BJ5:BJ7"/>
    <mergeCell ref="DH5:DH7"/>
    <mergeCell ref="DI5:DI7"/>
    <mergeCell ref="CR5:CR7"/>
    <mergeCell ref="CS5:CS7"/>
    <mergeCell ref="CT5:CT7"/>
    <mergeCell ref="CU5:CU7"/>
    <mergeCell ref="CV5:CV7"/>
    <mergeCell ref="CW5:CW7"/>
    <mergeCell ref="CX5:CX7"/>
    <mergeCell ref="CY5:CY7"/>
    <mergeCell ref="CZ5:CZ7"/>
    <mergeCell ref="DF5:DF7"/>
    <mergeCell ref="DG5:DG7"/>
    <mergeCell ref="DE5:DE7"/>
    <mergeCell ref="DD5:DD7"/>
    <mergeCell ref="DC5:DC7"/>
    <mergeCell ref="ET5:ET7"/>
    <mergeCell ref="EU5:EU7"/>
    <mergeCell ref="ES5:ES7"/>
    <mergeCell ref="EP5:EP7"/>
    <mergeCell ref="EQ5:EQ7"/>
    <mergeCell ref="ER5:ER7"/>
    <mergeCell ref="DJ5:DJ7"/>
    <mergeCell ref="DK5:DK7"/>
    <mergeCell ref="DL5:DL7"/>
    <mergeCell ref="DM5:DM7"/>
    <mergeCell ref="DN5:DN7"/>
    <mergeCell ref="ED5:ED7"/>
    <mergeCell ref="DS5:DS7"/>
    <mergeCell ref="DT5:DT7"/>
    <mergeCell ref="DU5:DU7"/>
    <mergeCell ref="DV5:DV7"/>
    <mergeCell ref="DW5:DW7"/>
    <mergeCell ref="DX5:DX7"/>
    <mergeCell ref="DY5:DY7"/>
    <mergeCell ref="DZ5:DZ7"/>
    <mergeCell ref="EA5:EA7"/>
    <mergeCell ref="EB5:EB7"/>
    <mergeCell ref="EC5:EC7"/>
    <mergeCell ref="CE4:CH4"/>
    <mergeCell ref="A5:A6"/>
    <mergeCell ref="B5:B7"/>
    <mergeCell ref="C5:C7"/>
    <mergeCell ref="D5:H6"/>
    <mergeCell ref="I5:AN5"/>
    <mergeCell ref="AO5:AO7"/>
    <mergeCell ref="AP5:AP7"/>
    <mergeCell ref="AQ5:AQ7"/>
    <mergeCell ref="AR5:AR7"/>
    <mergeCell ref="AS5:AS7"/>
    <mergeCell ref="AT5:AT7"/>
    <mergeCell ref="AU5:AU7"/>
    <mergeCell ref="AV5:AV7"/>
    <mergeCell ref="AW5:AW7"/>
    <mergeCell ref="AX5:AX7"/>
    <mergeCell ref="AY5:BC6"/>
    <mergeCell ref="BD5:BG6"/>
    <mergeCell ref="BK5:BK7"/>
    <mergeCell ref="BL5:BL7"/>
    <mergeCell ref="BM5:BM7"/>
    <mergeCell ref="BN5:BO5"/>
    <mergeCell ref="BP5:BQ5"/>
    <mergeCell ref="BR5:BS5"/>
  </mergeCells>
  <conditionalFormatting sqref="I15:R17 AU11 CO11 CO16 CS16:DD16 BK16:BX16 CS11:DG11 I9:R9 Y9:AB9 AP10 AR10 BH10:BI11 Y11:AB12 BK11:BU11 CE11:CJ11 I11:R12 AO16:AO17 BH16:BI17 AP17 AR17 EO16:ER16 EV16:EW16">
    <cfRule type="cellIs" dxfId="264" priority="474" stopIfTrue="1" operator="equal">
      <formula>$A$30</formula>
    </cfRule>
  </conditionalFormatting>
  <conditionalFormatting sqref="I13:BC14 I18:BC18 I19:ER19 EX19:EZ19">
    <cfRule type="cellIs" dxfId="263" priority="1665" stopIfTrue="1" operator="equal">
      <formula>$A$31</formula>
    </cfRule>
  </conditionalFormatting>
  <conditionalFormatting sqref="I1:DG1">
    <cfRule type="cellIs" dxfId="262" priority="1965" stopIfTrue="1" operator="equal">
      <formula>$A$31</formula>
    </cfRule>
  </conditionalFormatting>
  <conditionalFormatting sqref="I8:EZ8">
    <cfRule type="cellIs" dxfId="261" priority="14" stopIfTrue="1" operator="equal">
      <formula>$A$31</formula>
    </cfRule>
  </conditionalFormatting>
  <conditionalFormatting sqref="AS15:AX17 AS10:AX12 AP9 AR9:AX9 BH9:BI9 AO9:AO10 AQ9:AQ10 BK9:CJ10 CS9:CU10 S9:X12 AC9:AN12 BJ9:BJ12 CK9:CR12 Y10:AB10 BV11:BX11 CA11:CD11 AO12:AR12 BH12:BI12 CS12:CU12 AO15:AR15 BH15:BI15 BK15:CJ15 CS15:CU15 CK15:CR17 CV15:DL17 S15:AN17 BJ15:BJ17 AQ17 CS17:CU17 EV15:EW17 AU9:AU12 CV9:ES12 EV9:EZ12">
    <cfRule type="cellIs" dxfId="260" priority="416" stopIfTrue="1" operator="equal">
      <formula>$A$31</formula>
    </cfRule>
  </conditionalFormatting>
  <conditionalFormatting sqref="AO11:AS11">
    <cfRule type="cellIs" dxfId="259" priority="2009" stopIfTrue="1" operator="equal">
      <formula>$A$30</formula>
    </cfRule>
  </conditionalFormatting>
  <conditionalFormatting sqref="AP16:AS16">
    <cfRule type="cellIs" dxfId="258" priority="1760" stopIfTrue="1" operator="equal">
      <formula>$A$30</formula>
    </cfRule>
  </conditionalFormatting>
  <conditionalFormatting sqref="AS15:AS16">
    <cfRule type="cellIs" dxfId="257" priority="1684" stopIfTrue="1" operator="equal">
      <formula>$A$30</formula>
    </cfRule>
    <cfRule type="cellIs" dxfId="256" priority="1756" stopIfTrue="1" operator="equal">
      <formula>$A$30</formula>
    </cfRule>
  </conditionalFormatting>
  <conditionalFormatting sqref="AS15:AS17">
    <cfRule type="cellIs" dxfId="255" priority="1752" stopIfTrue="1" operator="equal">
      <formula>$A$31</formula>
    </cfRule>
    <cfRule type="cellIs" dxfId="254" priority="1755" stopIfTrue="1" operator="equal">
      <formula>$A$31</formula>
    </cfRule>
  </conditionalFormatting>
  <conditionalFormatting sqref="AS16">
    <cfRule type="cellIs" dxfId="253" priority="1753" stopIfTrue="1" operator="equal">
      <formula>$A$30</formula>
    </cfRule>
  </conditionalFormatting>
  <conditionalFormatting sqref="AU15">
    <cfRule type="cellIs" dxfId="252" priority="1437" stopIfTrue="1" operator="equal">
      <formula>$A$31</formula>
    </cfRule>
    <cfRule type="cellIs" dxfId="251" priority="1439" stopIfTrue="1" operator="equal">
      <formula>$A$30</formula>
    </cfRule>
    <cfRule type="cellIs" dxfId="250" priority="1440" stopIfTrue="1" operator="equal">
      <formula>$A$31</formula>
    </cfRule>
    <cfRule type="cellIs" dxfId="249" priority="1442" stopIfTrue="1" operator="equal">
      <formula>$A$30</formula>
    </cfRule>
    <cfRule type="cellIs" dxfId="248" priority="1443" stopIfTrue="1" operator="equal">
      <formula>$A$31</formula>
    </cfRule>
    <cfRule type="cellIs" dxfId="247" priority="1445" stopIfTrue="1" operator="equal">
      <formula>$A$30</formula>
    </cfRule>
    <cfRule type="cellIs" dxfId="246" priority="1446" stopIfTrue="1" operator="equal">
      <formula>$A$31</formula>
    </cfRule>
    <cfRule type="cellIs" dxfId="245" priority="1448" stopIfTrue="1" operator="equal">
      <formula>$A$30</formula>
    </cfRule>
    <cfRule type="cellIs" dxfId="244" priority="1449" stopIfTrue="1" operator="equal">
      <formula>$A$31</formula>
    </cfRule>
    <cfRule type="cellIs" dxfId="243" priority="1451" stopIfTrue="1" operator="equal">
      <formula>$A$30</formula>
    </cfRule>
    <cfRule type="cellIs" dxfId="242" priority="1452" stopIfTrue="1" operator="equal">
      <formula>$A$31</formula>
    </cfRule>
    <cfRule type="cellIs" dxfId="241" priority="1454" stopIfTrue="1" operator="equal">
      <formula>$A$30</formula>
    </cfRule>
    <cfRule type="cellIs" dxfId="240" priority="1455" stopIfTrue="1" operator="equal">
      <formula>$A$31</formula>
    </cfRule>
  </conditionalFormatting>
  <conditionalFormatting sqref="AU15:AU16">
    <cfRule type="cellIs" dxfId="239" priority="1408" stopIfTrue="1" operator="equal">
      <formula>$A$30</formula>
    </cfRule>
    <cfRule type="cellIs" dxfId="238" priority="1598" stopIfTrue="1" operator="equal">
      <formula>$A$30</formula>
    </cfRule>
  </conditionalFormatting>
  <conditionalFormatting sqref="AU16">
    <cfRule type="cellIs" dxfId="237" priority="1387" stopIfTrue="1" operator="equal">
      <formula>$A$30</formula>
    </cfRule>
    <cfRule type="cellIs" dxfId="236" priority="1388" stopIfTrue="1" operator="equal">
      <formula>$A$31</formula>
    </cfRule>
    <cfRule type="cellIs" dxfId="235" priority="1390" stopIfTrue="1" operator="equal">
      <formula>$A$30</formula>
    </cfRule>
    <cfRule type="cellIs" dxfId="234" priority="1391" stopIfTrue="1" operator="equal">
      <formula>$A$31</formula>
    </cfRule>
    <cfRule type="cellIs" dxfId="233" priority="1393" stopIfTrue="1" operator="equal">
      <formula>$A$30</formula>
    </cfRule>
    <cfRule type="cellIs" dxfId="232" priority="1394" stopIfTrue="1" operator="equal">
      <formula>$A$31</formula>
    </cfRule>
    <cfRule type="cellIs" dxfId="231" priority="1396" stopIfTrue="1" operator="equal">
      <formula>$A$30</formula>
    </cfRule>
    <cfRule type="cellIs" dxfId="230" priority="1397" stopIfTrue="1" operator="equal">
      <formula>$A$31</formula>
    </cfRule>
    <cfRule type="cellIs" dxfId="229" priority="1399" stopIfTrue="1" operator="equal">
      <formula>$A$30</formula>
    </cfRule>
    <cfRule type="cellIs" dxfId="228" priority="1400" stopIfTrue="1" operator="equal">
      <formula>$A$31</formula>
    </cfRule>
    <cfRule type="cellIs" dxfId="227" priority="1402" stopIfTrue="1" operator="equal">
      <formula>$A$30</formula>
    </cfRule>
    <cfRule type="cellIs" dxfId="226" priority="1403" stopIfTrue="1" operator="equal">
      <formula>$A$31</formula>
    </cfRule>
    <cfRule type="cellIs" dxfId="225" priority="1405" stopIfTrue="1" operator="equal">
      <formula>$A$30</formula>
    </cfRule>
    <cfRule type="cellIs" dxfId="224" priority="1406" stopIfTrue="1" operator="equal">
      <formula>$A$31</formula>
    </cfRule>
  </conditionalFormatting>
  <conditionalFormatting sqref="AU17">
    <cfRule type="cellIs" dxfId="223" priority="1336" stopIfTrue="1" operator="equal">
      <formula>$A$31</formula>
    </cfRule>
  </conditionalFormatting>
  <conditionalFormatting sqref="AW11">
    <cfRule type="cellIs" dxfId="222" priority="1563" stopIfTrue="1" operator="equal">
      <formula>$A$30</formula>
    </cfRule>
    <cfRule type="cellIs" dxfId="221" priority="1565" stopIfTrue="1" operator="equal">
      <formula>$A$30</formula>
    </cfRule>
    <cfRule type="cellIs" dxfId="220" priority="1567" stopIfTrue="1" operator="equal">
      <formula>$A$30</formula>
    </cfRule>
    <cfRule type="cellIs" dxfId="219" priority="1569" stopIfTrue="1" operator="equal">
      <formula>$A$30</formula>
    </cfRule>
    <cfRule type="cellIs" dxfId="218" priority="1571" stopIfTrue="1" operator="equal">
      <formula>$A$30</formula>
    </cfRule>
    <cfRule type="cellIs" dxfId="217" priority="1573" stopIfTrue="1" operator="equal">
      <formula>$A$30</formula>
    </cfRule>
    <cfRule type="cellIs" dxfId="216" priority="1575" stopIfTrue="1" operator="equal">
      <formula>$A$30</formula>
    </cfRule>
    <cfRule type="cellIs" dxfId="215" priority="1577" stopIfTrue="1" operator="equal">
      <formula>$A$30</formula>
    </cfRule>
    <cfRule type="cellIs" dxfId="214" priority="1579" stopIfTrue="1" operator="equal">
      <formula>$A$30</formula>
    </cfRule>
    <cfRule type="cellIs" dxfId="213" priority="1581" stopIfTrue="1" operator="equal">
      <formula>$A$30</formula>
    </cfRule>
    <cfRule type="cellIs" dxfId="212" priority="1583" stopIfTrue="1" operator="equal">
      <formula>$A$30</formula>
    </cfRule>
    <cfRule type="cellIs" dxfId="211" priority="1585" stopIfTrue="1" operator="equal">
      <formula>$A$30</formula>
    </cfRule>
    <cfRule type="cellIs" dxfId="210" priority="1587" stopIfTrue="1" operator="equal">
      <formula>$A$30</formula>
    </cfRule>
    <cfRule type="cellIs" dxfId="209" priority="1589" stopIfTrue="1" operator="equal">
      <formula>$A$30</formula>
    </cfRule>
    <cfRule type="cellIs" dxfId="208" priority="1591" stopIfTrue="1" operator="equal">
      <formula>$A$30</formula>
    </cfRule>
  </conditionalFormatting>
  <conditionalFormatting sqref="AW15">
    <cfRule type="cellIs" dxfId="207" priority="1418" stopIfTrue="1" operator="equal">
      <formula>$A$30</formula>
    </cfRule>
    <cfRule type="cellIs" dxfId="206" priority="1419" stopIfTrue="1" operator="equal">
      <formula>$A$31</formula>
    </cfRule>
    <cfRule type="cellIs" dxfId="205" priority="1421" stopIfTrue="1" operator="equal">
      <formula>$A$30</formula>
    </cfRule>
    <cfRule type="cellIs" dxfId="204" priority="1422" stopIfTrue="1" operator="equal">
      <formula>$A$31</formula>
    </cfRule>
    <cfRule type="cellIs" dxfId="203" priority="1424" stopIfTrue="1" operator="equal">
      <formula>$A$30</formula>
    </cfRule>
    <cfRule type="cellIs" dxfId="202" priority="1425" stopIfTrue="1" operator="equal">
      <formula>$A$31</formula>
    </cfRule>
    <cfRule type="cellIs" dxfId="201" priority="1427" stopIfTrue="1" operator="equal">
      <formula>$A$30</formula>
    </cfRule>
    <cfRule type="cellIs" dxfId="200" priority="1428" stopIfTrue="1" operator="equal">
      <formula>$A$31</formula>
    </cfRule>
    <cfRule type="cellIs" dxfId="199" priority="1430" stopIfTrue="1" operator="equal">
      <formula>$A$30</formula>
    </cfRule>
    <cfRule type="cellIs" dxfId="198" priority="1431" stopIfTrue="1" operator="equal">
      <formula>$A$31</formula>
    </cfRule>
    <cfRule type="cellIs" dxfId="197" priority="1433" stopIfTrue="1" operator="equal">
      <formula>$A$30</formula>
    </cfRule>
    <cfRule type="cellIs" dxfId="196" priority="1434" stopIfTrue="1" operator="equal">
      <formula>$A$31</formula>
    </cfRule>
  </conditionalFormatting>
  <conditionalFormatting sqref="AW15:AW16">
    <cfRule type="cellIs" dxfId="195" priority="1384" stopIfTrue="1" operator="equal">
      <formula>$A$30</formula>
    </cfRule>
    <cfRule type="cellIs" dxfId="194" priority="1385" stopIfTrue="1" operator="equal">
      <formula>$A$31</formula>
    </cfRule>
  </conditionalFormatting>
  <conditionalFormatting sqref="AW16">
    <cfRule type="cellIs" dxfId="193" priority="1366" stopIfTrue="1" operator="equal">
      <formula>$A$30</formula>
    </cfRule>
    <cfRule type="cellIs" dxfId="192" priority="1367" stopIfTrue="1" operator="equal">
      <formula>$A$31</formula>
    </cfRule>
    <cfRule type="cellIs" dxfId="191" priority="1369" stopIfTrue="1" operator="equal">
      <formula>$A$30</formula>
    </cfRule>
    <cfRule type="cellIs" dxfId="190" priority="1370" stopIfTrue="1" operator="equal">
      <formula>$A$31</formula>
    </cfRule>
    <cfRule type="cellIs" dxfId="189" priority="1372" stopIfTrue="1" operator="equal">
      <formula>$A$30</formula>
    </cfRule>
    <cfRule type="cellIs" dxfId="188" priority="1373" stopIfTrue="1" operator="equal">
      <formula>$A$31</formula>
    </cfRule>
    <cfRule type="cellIs" dxfId="187" priority="1375" stopIfTrue="1" operator="equal">
      <formula>$A$30</formula>
    </cfRule>
    <cfRule type="cellIs" dxfId="186" priority="1376" stopIfTrue="1" operator="equal">
      <formula>$A$31</formula>
    </cfRule>
    <cfRule type="cellIs" dxfId="185" priority="1378" stopIfTrue="1" operator="equal">
      <formula>$A$30</formula>
    </cfRule>
    <cfRule type="cellIs" dxfId="184" priority="1379" stopIfTrue="1" operator="equal">
      <formula>$A$31</formula>
    </cfRule>
    <cfRule type="cellIs" dxfId="183" priority="1381" stopIfTrue="1" operator="equal">
      <formula>$A$30</formula>
    </cfRule>
    <cfRule type="cellIs" dxfId="182" priority="1382" stopIfTrue="1" operator="equal">
      <formula>$A$31</formula>
    </cfRule>
  </conditionalFormatting>
  <conditionalFormatting sqref="AW17">
    <cfRule type="cellIs" dxfId="181" priority="1307" stopIfTrue="1" operator="equal">
      <formula>$A$31</formula>
    </cfRule>
  </conditionalFormatting>
  <conditionalFormatting sqref="BD14:BG14">
    <cfRule type="cellIs" dxfId="180" priority="2008" stopIfTrue="1" operator="equal">
      <formula>$A$31</formula>
    </cfRule>
  </conditionalFormatting>
  <conditionalFormatting sqref="BH18:ES18">
    <cfRule type="cellIs" dxfId="179" priority="102" stopIfTrue="1" operator="equal">
      <formula>$A$31</formula>
    </cfRule>
  </conditionalFormatting>
  <conditionalFormatting sqref="BH13:EZ14">
    <cfRule type="cellIs" dxfId="178" priority="12" stopIfTrue="1" operator="equal">
      <formula>$A$31</formula>
    </cfRule>
  </conditionalFormatting>
  <conditionalFormatting sqref="BK12:BX12">
    <cfRule type="cellIs" dxfId="177" priority="2007" stopIfTrue="1" operator="equal">
      <formula>$A$31</formula>
    </cfRule>
  </conditionalFormatting>
  <conditionalFormatting sqref="BK17:CJ17">
    <cfRule type="cellIs" dxfId="176" priority="592" stopIfTrue="1" operator="equal">
      <formula>$A$31</formula>
    </cfRule>
  </conditionalFormatting>
  <conditionalFormatting sqref="BN16:BU16">
    <cfRule type="cellIs" dxfId="175" priority="2000" stopIfTrue="1" operator="equal">
      <formula>$A$30</formula>
    </cfRule>
  </conditionalFormatting>
  <conditionalFormatting sqref="BT16:BU16">
    <cfRule type="cellIs" dxfId="174" priority="2006" stopIfTrue="1" operator="equal">
      <formula>$A$31</formula>
    </cfRule>
  </conditionalFormatting>
  <conditionalFormatting sqref="BY11:BZ11">
    <cfRule type="cellIs" dxfId="173" priority="595" stopIfTrue="1" operator="equal">
      <formula>$A$30</formula>
    </cfRule>
  </conditionalFormatting>
  <conditionalFormatting sqref="BY12:CJ12">
    <cfRule type="cellIs" dxfId="172" priority="594" stopIfTrue="1" operator="equal">
      <formula>$A$31</formula>
    </cfRule>
  </conditionalFormatting>
  <conditionalFormatting sqref="BY16:CJ16">
    <cfRule type="cellIs" dxfId="171" priority="593" stopIfTrue="1" operator="equal">
      <formula>$A$30</formula>
    </cfRule>
  </conditionalFormatting>
  <conditionalFormatting sqref="DB15">
    <cfRule type="cellIs" dxfId="170" priority="1770" stopIfTrue="1" operator="equal">
      <formula>$A$30</formula>
    </cfRule>
    <cfRule type="cellIs" dxfId="169" priority="1987" stopIfTrue="1" operator="equal">
      <formula>$A$30</formula>
    </cfRule>
  </conditionalFormatting>
  <conditionalFormatting sqref="DB15:DE17">
    <cfRule type="cellIs" dxfId="168" priority="1978" stopIfTrue="1" operator="equal">
      <formula>$A$31</formula>
    </cfRule>
    <cfRule type="cellIs" dxfId="167" priority="1982" stopIfTrue="1" operator="equal">
      <formula>$A$31</formula>
    </cfRule>
  </conditionalFormatting>
  <conditionalFormatting sqref="DB16:DE16">
    <cfRule type="cellIs" dxfId="166" priority="1772" stopIfTrue="1" operator="equal">
      <formula>$A$30</formula>
    </cfRule>
    <cfRule type="cellIs" dxfId="165" priority="1980" stopIfTrue="1" operator="equal">
      <formula>$A$30</formula>
    </cfRule>
    <cfRule type="cellIs" dxfId="164" priority="1989" stopIfTrue="1" operator="equal">
      <formula>$A$30</formula>
    </cfRule>
  </conditionalFormatting>
  <conditionalFormatting sqref="DB16:DF16">
    <cfRule type="cellIs" dxfId="163" priority="1959" stopIfTrue="1" operator="equal">
      <formula>$A$30</formula>
    </cfRule>
  </conditionalFormatting>
  <conditionalFormatting sqref="DE17">
    <cfRule type="cellIs" dxfId="162" priority="1811" stopIfTrue="1" operator="equal">
      <formula>$A$30</formula>
    </cfRule>
    <cfRule type="cellIs" dxfId="161" priority="1986" stopIfTrue="1" operator="equal">
      <formula>$A$30</formula>
    </cfRule>
  </conditionalFormatting>
  <conditionalFormatting sqref="DF15:DF17">
    <cfRule type="cellIs" dxfId="160" priority="1948" stopIfTrue="1" operator="equal">
      <formula>$A$31</formula>
    </cfRule>
    <cfRule type="cellIs" dxfId="159" priority="1951" stopIfTrue="1" operator="equal">
      <formula>$A$31</formula>
    </cfRule>
  </conditionalFormatting>
  <conditionalFormatting sqref="DF16">
    <cfRule type="cellIs" dxfId="158" priority="1949" stopIfTrue="1" operator="equal">
      <formula>$A$30</formula>
    </cfRule>
  </conditionalFormatting>
  <conditionalFormatting sqref="DF16:DF17">
    <cfRule type="cellIs" dxfId="157" priority="1782" stopIfTrue="1" operator="equal">
      <formula>$A$30</formula>
    </cfRule>
    <cfRule type="cellIs" dxfId="156" priority="1955" stopIfTrue="1" operator="equal">
      <formula>$A$30</formula>
    </cfRule>
  </conditionalFormatting>
  <conditionalFormatting sqref="DG16">
    <cfRule type="cellIs" dxfId="155" priority="666" stopIfTrue="1" operator="equal">
      <formula>$A$30</formula>
    </cfRule>
  </conditionalFormatting>
  <conditionalFormatting sqref="DM1:EA1">
    <cfRule type="cellIs" dxfId="154" priority="536" stopIfTrue="1" operator="equal">
      <formula>$A$31</formula>
    </cfRule>
  </conditionalFormatting>
  <conditionalFormatting sqref="DM15:EK17">
    <cfRule type="cellIs" dxfId="153" priority="531" stopIfTrue="1" operator="equal">
      <formula>$A$31</formula>
    </cfRule>
  </conditionalFormatting>
  <conditionalFormatting sqref="EL15:EN17">
    <cfRule type="cellIs" dxfId="152" priority="418" stopIfTrue="1" operator="equal">
      <formula>$A$31</formula>
    </cfRule>
  </conditionalFormatting>
  <conditionalFormatting sqref="EO11:ER11">
    <cfRule type="cellIs" dxfId="151" priority="212" stopIfTrue="1" operator="equal">
      <formula>$A$30</formula>
    </cfRule>
  </conditionalFormatting>
  <conditionalFormatting sqref="EO15:ER17">
    <cfRule type="cellIs" dxfId="150" priority="210" stopIfTrue="1" operator="equal">
      <formula>$A$31</formula>
    </cfRule>
  </conditionalFormatting>
  <conditionalFormatting sqref="EO15:ES16">
    <cfRule type="cellIs" dxfId="149" priority="146" stopIfTrue="1" operator="equal">
      <formula>$A$30</formula>
    </cfRule>
  </conditionalFormatting>
  <conditionalFormatting sqref="ES11">
    <cfRule type="cellIs" dxfId="148" priority="157" stopIfTrue="1" operator="equal">
      <formula>$A$30</formula>
    </cfRule>
  </conditionalFormatting>
  <conditionalFormatting sqref="ES15:ES17">
    <cfRule type="cellIs" dxfId="147" priority="148" stopIfTrue="1" operator="equal">
      <formula>$A$31</formula>
    </cfRule>
  </conditionalFormatting>
  <conditionalFormatting sqref="ES16">
    <cfRule type="cellIs" dxfId="146" priority="149" stopIfTrue="1" operator="equal">
      <formula>$A$30</formula>
    </cfRule>
  </conditionalFormatting>
  <conditionalFormatting sqref="EU18:EZ18">
    <cfRule type="cellIs" dxfId="145" priority="10" stopIfTrue="1" operator="equal">
      <formula>$A$31</formula>
    </cfRule>
  </conditionalFormatting>
  <conditionalFormatting sqref="EV11:EW11">
    <cfRule type="cellIs" dxfId="144" priority="63" stopIfTrue="1" operator="equal">
      <formula>$A$30</formula>
    </cfRule>
  </conditionalFormatting>
  <conditionalFormatting sqref="EX15:EZ17">
    <cfRule type="cellIs" dxfId="143" priority="1" stopIfTrue="1" operator="equal">
      <formula>$A$31</formula>
    </cfRule>
  </conditionalFormatting>
  <conditionalFormatting sqref="I10:R10">
    <cfRule type="cellIs" dxfId="142" priority="3574" stopIfTrue="1" operator="equal">
      <formula>$B$30</formula>
    </cfRule>
  </conditionalFormatting>
  <conditionalFormatting sqref="AW9:AW12">
    <cfRule type="cellIs" dxfId="141" priority="3769" stopIfTrue="1" operator="equal">
      <formula>$A$31</formula>
    </cfRule>
    <cfRule type="cellIs" dxfId="140" priority="3770" stopIfTrue="1" operator="equal">
      <formula>$A$31</formula>
    </cfRule>
    <cfRule type="cellIs" dxfId="139" priority="3771" stopIfTrue="1" operator="equal">
      <formula>$A$31</formula>
    </cfRule>
    <cfRule type="cellIs" dxfId="138" priority="3772" stopIfTrue="1" operator="equal">
      <formula>$A$31</formula>
    </cfRule>
    <cfRule type="cellIs" dxfId="137" priority="3773" stopIfTrue="1" operator="equal">
      <formula>$A$31</formula>
    </cfRule>
    <cfRule type="cellIs" dxfId="136" priority="3774" stopIfTrue="1" operator="equal">
      <formula>$A$31</formula>
    </cfRule>
    <cfRule type="cellIs" dxfId="135" priority="3775" stopIfTrue="1" operator="equal">
      <formula>$A$31</formula>
    </cfRule>
    <cfRule type="cellIs" dxfId="134" priority="3776" stopIfTrue="1" operator="equal">
      <formula>$A$31</formula>
    </cfRule>
    <cfRule type="cellIs" dxfId="133" priority="3777" stopIfTrue="1" operator="equal">
      <formula>$A$31</formula>
    </cfRule>
    <cfRule type="cellIs" dxfId="132" priority="3778" stopIfTrue="1" operator="equal">
      <formula>$A$31</formula>
    </cfRule>
    <cfRule type="cellIs" dxfId="131" priority="3779" stopIfTrue="1" operator="equal">
      <formula>$A$31</formula>
    </cfRule>
    <cfRule type="cellIs" dxfId="130" priority="3780" stopIfTrue="1" operator="equal">
      <formula>$A$31</formula>
    </cfRule>
    <cfRule type="cellIs" dxfId="129" priority="3781" stopIfTrue="1" operator="equal">
      <formula>$A$31</formula>
    </cfRule>
    <cfRule type="cellIs" dxfId="128" priority="3782" stopIfTrue="1" operator="equal">
      <formula>$A$31</formula>
    </cfRule>
  </conditionalFormatting>
  <pageMargins left="0.7" right="0.7"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
  <dimension ref="A1:BZ32"/>
  <sheetViews>
    <sheetView topLeftCell="C1" zoomScale="82" zoomScaleNormal="82" workbookViewId="0">
      <selection activeCell="C5" sqref="C5:C6"/>
    </sheetView>
  </sheetViews>
  <sheetFormatPr baseColWidth="10" defaultColWidth="11.42578125" defaultRowHeight="12.75"/>
  <cols>
    <col min="1" max="1" width="15.42578125" style="642" hidden="1" customWidth="1"/>
    <col min="2" max="2" width="9.42578125" style="642" hidden="1" customWidth="1"/>
    <col min="3" max="3" width="37.28515625" style="644" bestFit="1" customWidth="1"/>
    <col min="4" max="4" width="7.42578125" style="644" customWidth="1"/>
    <col min="5" max="5" width="16.7109375" style="644" customWidth="1"/>
    <col min="6" max="6" width="15.85546875" style="644" customWidth="1"/>
    <col min="7" max="7" width="13.5703125" style="644" customWidth="1"/>
    <col min="8" max="8" width="14.28515625" style="644" customWidth="1"/>
    <col min="9" max="9" width="14" style="644" customWidth="1"/>
    <col min="10" max="10" width="14.42578125" style="645" customWidth="1"/>
    <col min="11" max="12" width="14.28515625" style="644" customWidth="1"/>
    <col min="13" max="14" width="14.28515625" style="646" customWidth="1"/>
    <col min="15" max="15" width="14.7109375" style="644" customWidth="1"/>
    <col min="16" max="16" width="14.28515625" style="644" customWidth="1"/>
    <col min="17" max="18" width="14.28515625" style="647" customWidth="1"/>
    <col min="19" max="19" width="14.28515625" style="644" customWidth="1"/>
    <col min="20" max="20" width="14.28515625" style="647" customWidth="1"/>
    <col min="21" max="21" width="13.7109375" customWidth="1"/>
    <col min="22" max="22" width="13" style="1003" customWidth="1"/>
    <col min="23" max="23" width="12.85546875" style="644" customWidth="1"/>
    <col min="24" max="24" width="14.28515625" style="647" customWidth="1"/>
    <col min="25" max="25" width="14.85546875" style="644" customWidth="1"/>
    <col min="26" max="26" width="16.28515625" style="644" customWidth="1"/>
    <col min="27" max="27" width="14.28515625" style="644" customWidth="1"/>
    <col min="28" max="28" width="16.28515625" style="644" customWidth="1"/>
    <col min="29" max="29" width="12.5703125" style="644" customWidth="1"/>
    <col min="30" max="36" width="13" style="644" customWidth="1"/>
    <col min="37" max="38" width="12.85546875" style="644" customWidth="1"/>
    <col min="39" max="40" width="11.42578125" style="644"/>
    <col min="41" max="41" width="12.42578125" style="644" customWidth="1"/>
    <col min="42" max="42" width="12.28515625" style="644" customWidth="1"/>
    <col min="43" max="43" width="12.42578125" style="644" customWidth="1"/>
    <col min="44" max="44" width="16.140625" style="647" customWidth="1"/>
    <col min="45" max="46" width="14.5703125" style="644" customWidth="1"/>
    <col min="47" max="48" width="14.5703125" style="646" customWidth="1"/>
    <col min="49" max="52" width="13.42578125" style="644" customWidth="1"/>
    <col min="53" max="53" width="13.42578125" style="470" customWidth="1"/>
    <col min="54" max="55" width="14.85546875" style="644" customWidth="1"/>
    <col min="56" max="56" width="11.5703125" customWidth="1"/>
    <col min="57" max="57" width="11.42578125" style="644" customWidth="1"/>
    <col min="58" max="74" width="11.42578125" style="644"/>
    <col min="75" max="75" width="14.85546875" style="470" hidden="1" customWidth="1"/>
    <col min="76" max="77" width="11.42578125" style="644"/>
    <col min="78" max="78" width="0" style="1025" hidden="1" customWidth="1"/>
    <col min="79" max="16384" width="11.42578125" style="644"/>
  </cols>
  <sheetData>
    <row r="1" spans="1:78">
      <c r="C1" s="643" t="str">
        <f>Criterios!A9 &amp;"  "&amp;Criterios!B9</f>
        <v>Tribunales de Justicia  CATALUÑA</v>
      </c>
    </row>
    <row r="2" spans="1:78" ht="16.5" customHeight="1">
      <c r="C2" s="487" t="str">
        <f>Criterios!A10 &amp;"  "&amp;Criterios!B10 &amp; "  " &amp; IF(NOT(ISBLANK(Criterios!A11)),Criterios!A11 &amp;"  "&amp;Criterios!B11,"")</f>
        <v>Provincias  BARCELONA  Resumenes por Partidos Judiciales  VIC</v>
      </c>
      <c r="D2" s="643"/>
      <c r="E2" s="648"/>
      <c r="F2" s="648"/>
      <c r="G2" s="649"/>
      <c r="I2" s="648"/>
      <c r="J2" s="650"/>
      <c r="K2" s="648"/>
      <c r="L2" s="648"/>
      <c r="M2" s="651"/>
      <c r="N2" s="651"/>
      <c r="O2" s="648"/>
      <c r="S2" s="648"/>
      <c r="T2" s="652"/>
    </row>
    <row r="3" spans="1:78" ht="21.75" customHeight="1">
      <c r="C3" s="653"/>
      <c r="D3" s="654"/>
      <c r="G3" s="649"/>
      <c r="I3" s="648"/>
      <c r="BZ3" s="470"/>
    </row>
    <row r="4" spans="1:78" ht="16.5" customHeight="1" thickBot="1">
      <c r="C4" s="612"/>
      <c r="D4" s="655"/>
      <c r="E4" s="656"/>
      <c r="F4" s="656"/>
      <c r="G4" s="656"/>
      <c r="H4" s="656"/>
      <c r="I4" s="656"/>
      <c r="J4" s="657"/>
      <c r="K4" s="656"/>
      <c r="L4" s="656"/>
      <c r="M4" s="651"/>
      <c r="N4" s="656"/>
      <c r="O4" s="656"/>
      <c r="P4" s="656"/>
      <c r="Q4" s="652"/>
      <c r="R4" s="652"/>
      <c r="S4" s="656"/>
      <c r="T4" s="656"/>
      <c r="W4" s="656"/>
      <c r="X4" s="656"/>
      <c r="Y4" s="656"/>
      <c r="Z4" s="656"/>
      <c r="AA4" s="656"/>
      <c r="AB4" s="656"/>
      <c r="AC4" s="656"/>
      <c r="AD4" s="656"/>
      <c r="AE4" s="656"/>
      <c r="AF4" s="656"/>
      <c r="AG4" s="656"/>
      <c r="AH4" s="656"/>
      <c r="AI4" s="656"/>
      <c r="AJ4" s="656"/>
      <c r="AK4" s="656"/>
      <c r="AL4" s="656"/>
      <c r="AM4" s="656"/>
      <c r="AN4" s="656"/>
      <c r="AO4" s="656"/>
      <c r="AP4" s="656"/>
      <c r="AQ4" s="656"/>
      <c r="AR4" s="656"/>
      <c r="AS4" s="656"/>
      <c r="AT4" s="656"/>
      <c r="AU4" s="656"/>
      <c r="AV4" s="656"/>
      <c r="AW4" s="656"/>
      <c r="AX4" s="656"/>
      <c r="AY4" s="656"/>
      <c r="AZ4" s="656"/>
      <c r="BA4" s="494"/>
      <c r="BB4" s="656"/>
      <c r="BC4" s="656"/>
      <c r="BW4" s="494"/>
      <c r="BZ4" s="470"/>
    </row>
    <row r="5" spans="1:78" ht="15.75" customHeight="1">
      <c r="A5" s="1284" t="s">
        <v>351</v>
      </c>
      <c r="B5" s="271"/>
      <c r="C5" s="1284" t="str">
        <f>"Año:  " &amp;Criterios!B$5 &amp; "          Trimestre   " &amp;Criterios!D$5 &amp; " al " &amp;Criterios!D$6</f>
        <v>Año:  2025          Trimestre   4 al 4</v>
      </c>
      <c r="D5" s="1494" t="s">
        <v>376</v>
      </c>
      <c r="E5" s="1494" t="s">
        <v>555</v>
      </c>
      <c r="F5" s="1523" t="s">
        <v>406</v>
      </c>
      <c r="G5" s="1494" t="s">
        <v>128</v>
      </c>
      <c r="H5" s="1494" t="s">
        <v>585</v>
      </c>
      <c r="I5" s="1494" t="s">
        <v>556</v>
      </c>
      <c r="J5" s="1494" t="s">
        <v>659</v>
      </c>
      <c r="K5" s="1494" t="s">
        <v>557</v>
      </c>
      <c r="L5" s="1494" t="s">
        <v>525</v>
      </c>
      <c r="M5" s="1526" t="s">
        <v>583</v>
      </c>
      <c r="N5" s="1494" t="s">
        <v>714</v>
      </c>
      <c r="O5" s="1494" t="s">
        <v>674</v>
      </c>
      <c r="P5" s="1494" t="s">
        <v>168</v>
      </c>
      <c r="Q5" s="1529" t="s">
        <v>671</v>
      </c>
      <c r="R5" s="1529" t="s">
        <v>715</v>
      </c>
      <c r="S5" s="1494" t="s">
        <v>586</v>
      </c>
      <c r="T5" s="1529" t="s">
        <v>558</v>
      </c>
      <c r="U5" s="1529" t="s">
        <v>762</v>
      </c>
      <c r="V5" s="1529" t="s">
        <v>763</v>
      </c>
      <c r="W5" s="1512" t="s">
        <v>608</v>
      </c>
      <c r="X5" s="1515" t="s">
        <v>559</v>
      </c>
      <c r="Y5" s="1512" t="s">
        <v>560</v>
      </c>
      <c r="Z5" s="1512" t="s">
        <v>561</v>
      </c>
      <c r="AA5" s="1494" t="s">
        <v>675</v>
      </c>
      <c r="AB5" s="1494" t="s">
        <v>680</v>
      </c>
      <c r="AC5" s="1494" t="s">
        <v>182</v>
      </c>
      <c r="AD5" s="1500" t="s">
        <v>180</v>
      </c>
      <c r="AE5" s="1494" t="s">
        <v>676</v>
      </c>
      <c r="AF5" s="1503" t="s">
        <v>677</v>
      </c>
      <c r="AG5" s="1506" t="s">
        <v>534</v>
      </c>
      <c r="AH5" s="1494" t="s">
        <v>535</v>
      </c>
      <c r="AI5" s="1494" t="s">
        <v>606</v>
      </c>
      <c r="AJ5" s="1509" t="s">
        <v>607</v>
      </c>
      <c r="AK5" s="1506" t="s">
        <v>183</v>
      </c>
      <c r="AL5" s="1494" t="s">
        <v>565</v>
      </c>
      <c r="AM5" s="1494" t="s">
        <v>247</v>
      </c>
      <c r="AN5" s="1494" t="s">
        <v>248</v>
      </c>
      <c r="AO5" s="1494" t="s">
        <v>249</v>
      </c>
      <c r="AP5" s="1494" t="s">
        <v>566</v>
      </c>
      <c r="AQ5" s="1494" t="s">
        <v>250</v>
      </c>
      <c r="AR5" s="1494" t="s">
        <v>567</v>
      </c>
      <c r="AS5" s="1494" t="s">
        <v>568</v>
      </c>
      <c r="AT5" s="1494" t="s">
        <v>569</v>
      </c>
      <c r="AU5" s="1494" t="s">
        <v>594</v>
      </c>
      <c r="AV5" s="1494" t="s">
        <v>587</v>
      </c>
      <c r="AW5" s="1494" t="s">
        <v>828</v>
      </c>
      <c r="AX5" s="1494" t="s">
        <v>831</v>
      </c>
      <c r="AY5" s="1494" t="s">
        <v>833</v>
      </c>
      <c r="AZ5" s="1494" t="s">
        <v>588</v>
      </c>
      <c r="BA5" s="1494" t="s">
        <v>849</v>
      </c>
      <c r="BB5" s="1494" t="s">
        <v>570</v>
      </c>
      <c r="BC5" s="1494" t="s">
        <v>533</v>
      </c>
      <c r="BW5" s="1494" t="s">
        <v>764</v>
      </c>
      <c r="BZ5" s="470"/>
    </row>
    <row r="6" spans="1:78" ht="21.75" customHeight="1">
      <c r="A6" s="1545"/>
      <c r="B6" s="658"/>
      <c r="C6" s="1547"/>
      <c r="D6" s="1495"/>
      <c r="E6" s="1495"/>
      <c r="F6" s="1524"/>
      <c r="G6" s="1495"/>
      <c r="H6" s="1495"/>
      <c r="I6" s="1495"/>
      <c r="J6" s="1495"/>
      <c r="K6" s="1495"/>
      <c r="L6" s="1495"/>
      <c r="M6" s="1527"/>
      <c r="N6" s="1495"/>
      <c r="O6" s="1495"/>
      <c r="P6" s="1495"/>
      <c r="Q6" s="1530"/>
      <c r="R6" s="1530"/>
      <c r="S6" s="1495"/>
      <c r="T6" s="1530"/>
      <c r="U6" s="1530"/>
      <c r="V6" s="1530"/>
      <c r="W6" s="1513"/>
      <c r="X6" s="1516"/>
      <c r="Y6" s="1513"/>
      <c r="Z6" s="1513"/>
      <c r="AA6" s="1495"/>
      <c r="AB6" s="1495"/>
      <c r="AC6" s="1495"/>
      <c r="AD6" s="1501"/>
      <c r="AE6" s="1495"/>
      <c r="AF6" s="1504"/>
      <c r="AG6" s="1507"/>
      <c r="AH6" s="1495"/>
      <c r="AI6" s="1495"/>
      <c r="AJ6" s="1510"/>
      <c r="AK6" s="1507"/>
      <c r="AL6" s="1495"/>
      <c r="AM6" s="1495"/>
      <c r="AN6" s="1495"/>
      <c r="AO6" s="1495"/>
      <c r="AP6" s="1495"/>
      <c r="AQ6" s="1495"/>
      <c r="AR6" s="1495"/>
      <c r="AS6" s="1495"/>
      <c r="AT6" s="1495"/>
      <c r="AU6" s="1495"/>
      <c r="AV6" s="1495"/>
      <c r="AW6" s="1495"/>
      <c r="AX6" s="1495"/>
      <c r="AY6" s="1495"/>
      <c r="AZ6" s="1495"/>
      <c r="BA6" s="1495"/>
      <c r="BB6" s="1495"/>
      <c r="BC6" s="1495"/>
      <c r="BW6" s="1495"/>
      <c r="BZ6" s="470"/>
    </row>
    <row r="7" spans="1:78" ht="38.25" customHeight="1" thickBot="1">
      <c r="A7" s="1546"/>
      <c r="B7" s="659"/>
      <c r="C7" s="660" t="str">
        <f>DatosP!A7</f>
        <v>COMPETENCIAS</v>
      </c>
      <c r="D7" s="1496"/>
      <c r="E7" s="1496"/>
      <c r="F7" s="1525"/>
      <c r="G7" s="1496"/>
      <c r="H7" s="1496"/>
      <c r="I7" s="1496"/>
      <c r="J7" s="1496"/>
      <c r="K7" s="1496"/>
      <c r="L7" s="1496"/>
      <c r="M7" s="1528"/>
      <c r="N7" s="1496"/>
      <c r="O7" s="1496"/>
      <c r="P7" s="1496"/>
      <c r="Q7" s="1531"/>
      <c r="R7" s="1531"/>
      <c r="S7" s="1496"/>
      <c r="T7" s="1531"/>
      <c r="U7" s="1531"/>
      <c r="V7" s="1531"/>
      <c r="W7" s="1514"/>
      <c r="X7" s="1517"/>
      <c r="Y7" s="1514"/>
      <c r="Z7" s="1514"/>
      <c r="AA7" s="1496"/>
      <c r="AB7" s="1496"/>
      <c r="AC7" s="1496"/>
      <c r="AD7" s="1502"/>
      <c r="AE7" s="1496"/>
      <c r="AF7" s="1505"/>
      <c r="AG7" s="1508"/>
      <c r="AH7" s="1496"/>
      <c r="AI7" s="1496"/>
      <c r="AJ7" s="1511"/>
      <c r="AK7" s="1508"/>
      <c r="AL7" s="1496"/>
      <c r="AM7" s="1496"/>
      <c r="AN7" s="1496"/>
      <c r="AO7" s="1496"/>
      <c r="AP7" s="1496"/>
      <c r="AQ7" s="1496"/>
      <c r="AR7" s="1496"/>
      <c r="AS7" s="1496"/>
      <c r="AT7" s="1496"/>
      <c r="AU7" s="1496"/>
      <c r="AV7" s="1496"/>
      <c r="AW7" s="1496"/>
      <c r="AX7" s="1496"/>
      <c r="AY7" s="1496"/>
      <c r="AZ7" s="1496"/>
      <c r="BA7" s="1496"/>
      <c r="BB7" s="1496"/>
      <c r="BC7" s="1496"/>
      <c r="BW7" s="1496"/>
      <c r="BZ7" s="470"/>
    </row>
    <row r="8" spans="1:78" ht="15" thickTop="1">
      <c r="A8" s="661"/>
      <c r="B8" s="661"/>
      <c r="C8" s="160" t="str">
        <f>DatosP!A8</f>
        <v>Jurisdicción Civil ( 1 ):</v>
      </c>
      <c r="D8" s="662"/>
      <c r="E8" s="662"/>
      <c r="F8" s="663"/>
      <c r="G8" s="663"/>
      <c r="H8" s="664"/>
      <c r="I8" s="663"/>
      <c r="J8" s="664"/>
      <c r="K8" s="664"/>
      <c r="L8" s="664"/>
      <c r="M8" s="665"/>
      <c r="N8" s="665"/>
      <c r="O8" s="664"/>
      <c r="P8" s="664"/>
      <c r="Q8" s="666"/>
      <c r="R8" s="666"/>
      <c r="S8" s="664"/>
      <c r="T8" s="666"/>
      <c r="U8" s="298"/>
      <c r="V8" s="1004"/>
      <c r="W8" s="667"/>
      <c r="X8" s="668"/>
      <c r="Y8" s="663"/>
      <c r="Z8" s="664"/>
      <c r="AA8" s="663"/>
      <c r="AB8" s="664"/>
      <c r="AC8" s="669"/>
      <c r="AD8" s="663"/>
      <c r="AE8" s="664"/>
      <c r="AF8" s="670"/>
      <c r="AG8" s="671"/>
      <c r="AH8" s="672"/>
      <c r="AI8" s="671"/>
      <c r="AJ8" s="672"/>
      <c r="AK8" s="663"/>
      <c r="AL8" s="664"/>
      <c r="AM8" s="673"/>
      <c r="AN8" s="674"/>
      <c r="AO8" s="667"/>
      <c r="AP8" s="776"/>
      <c r="AQ8" s="667"/>
      <c r="AR8" s="675"/>
      <c r="AS8" s="675"/>
      <c r="AT8" s="676"/>
      <c r="AU8" s="677"/>
      <c r="AV8" s="677"/>
      <c r="AW8" s="675"/>
      <c r="AX8" s="675"/>
      <c r="AY8" s="675"/>
      <c r="AZ8" s="675"/>
      <c r="BA8" s="223"/>
      <c r="BB8" s="678"/>
      <c r="BC8" s="679"/>
      <c r="BW8" s="476"/>
    </row>
    <row r="9" spans="1:78" ht="14.25">
      <c r="A9" s="500">
        <f>DatosP!AO9</f>
        <v>0</v>
      </c>
      <c r="B9" s="500" t="s">
        <v>246</v>
      </c>
      <c r="C9" s="159" t="str">
        <f>DatosP!A9</f>
        <v xml:space="preserve">Jdos. 1ª Instancia   </v>
      </c>
      <c r="D9" s="501"/>
      <c r="E9" s="692"/>
      <c r="F9" s="682"/>
      <c r="G9" s="683"/>
      <c r="H9" s="684"/>
      <c r="I9" s="682"/>
      <c r="J9" s="684"/>
      <c r="K9" s="684"/>
      <c r="L9" s="684"/>
      <c r="M9" s="681"/>
      <c r="N9" s="681"/>
      <c r="O9" s="684"/>
      <c r="P9" s="684"/>
      <c r="Q9" s="1128"/>
      <c r="R9" s="1128"/>
      <c r="S9" s="684"/>
      <c r="T9" s="724"/>
      <c r="U9" s="225"/>
      <c r="V9" s="1005"/>
      <c r="W9" s="682"/>
      <c r="X9" s="724"/>
      <c r="Y9" s="682"/>
      <c r="Z9" s="684"/>
      <c r="AA9" s="687"/>
      <c r="AB9" s="688"/>
      <c r="AC9" s="681"/>
      <c r="AD9" s="682"/>
      <c r="AE9" s="671"/>
      <c r="AF9" s="672"/>
      <c r="AG9" s="671"/>
      <c r="AH9" s="672"/>
      <c r="AI9" s="671"/>
      <c r="AJ9" s="672"/>
      <c r="AK9" s="682"/>
      <c r="AL9" s="689"/>
      <c r="AM9" s="689"/>
      <c r="AN9" s="690"/>
      <c r="AO9" s="691"/>
      <c r="AP9" s="692"/>
      <c r="AQ9" s="691"/>
      <c r="AR9" s="693"/>
      <c r="AS9" s="693"/>
      <c r="AT9" s="694"/>
      <c r="AU9" s="695"/>
      <c r="AV9" s="695"/>
      <c r="AW9" s="696"/>
      <c r="AX9" s="696"/>
      <c r="AY9" s="696"/>
      <c r="AZ9" s="696"/>
      <c r="BA9" s="265"/>
      <c r="BB9" s="696"/>
      <c r="BC9" s="697"/>
      <c r="BD9" s="644"/>
      <c r="BW9" s="1024">
        <f>DatosP!ER9/factor_trimestre</f>
        <v>0</v>
      </c>
      <c r="BZ9" s="1185">
        <f>DatosP!EZ9</f>
        <v>0</v>
      </c>
    </row>
    <row r="10" spans="1:78" ht="14.25">
      <c r="A10" s="500">
        <f>DatosP!AO10</f>
        <v>0</v>
      </c>
      <c r="B10" s="506" t="s">
        <v>246</v>
      </c>
      <c r="C10" s="7" t="str">
        <f>DatosP!A10</f>
        <v>Jdos. Violencia contra la mujer</v>
      </c>
      <c r="D10" s="507"/>
      <c r="E10" s="692"/>
      <c r="F10" s="682"/>
      <c r="G10" s="683"/>
      <c r="H10" s="684"/>
      <c r="I10" s="682"/>
      <c r="J10" s="684"/>
      <c r="K10" s="684"/>
      <c r="L10" s="684"/>
      <c r="M10" s="681"/>
      <c r="N10" s="681"/>
      <c r="O10" s="684"/>
      <c r="P10" s="684"/>
      <c r="Q10" s="1128"/>
      <c r="R10" s="1128"/>
      <c r="S10" s="684"/>
      <c r="T10" s="724"/>
      <c r="U10" s="225"/>
      <c r="V10" s="1005"/>
      <c r="W10" s="682"/>
      <c r="X10" s="724"/>
      <c r="Y10" s="682"/>
      <c r="Z10" s="684"/>
      <c r="AA10" s="687"/>
      <c r="AB10" s="688"/>
      <c r="AC10" s="681"/>
      <c r="AD10" s="682"/>
      <c r="AE10" s="671"/>
      <c r="AF10" s="672"/>
      <c r="AG10" s="671"/>
      <c r="AH10" s="672"/>
      <c r="AI10" s="671"/>
      <c r="AJ10" s="672"/>
      <c r="AK10" s="682"/>
      <c r="AL10" s="689"/>
      <c r="AM10" s="689"/>
      <c r="AN10" s="690"/>
      <c r="AO10" s="691"/>
      <c r="AP10" s="692"/>
      <c r="AQ10" s="691"/>
      <c r="AR10" s="693"/>
      <c r="AS10" s="693"/>
      <c r="AT10" s="694"/>
      <c r="AU10" s="695"/>
      <c r="AV10" s="695"/>
      <c r="AW10" s="696"/>
      <c r="AX10" s="696"/>
      <c r="AY10" s="696"/>
      <c r="AZ10" s="696"/>
      <c r="BA10" s="265"/>
      <c r="BB10" s="696"/>
      <c r="BC10" s="697"/>
      <c r="BD10" s="644"/>
      <c r="BW10" s="1024">
        <f>DatosP!ER10/factor_trimestre</f>
        <v>0</v>
      </c>
      <c r="BZ10" s="1185">
        <f>DatosP!EZ10</f>
        <v>0</v>
      </c>
    </row>
    <row r="11" spans="1:78" ht="14.25">
      <c r="A11" s="500">
        <f>DatosP!AO11</f>
        <v>0</v>
      </c>
      <c r="B11" s="506" t="s">
        <v>246</v>
      </c>
      <c r="C11" s="7" t="str">
        <f>DatosP!A11</f>
        <v xml:space="preserve">Jdos. Familia                                   </v>
      </c>
      <c r="D11" s="507"/>
      <c r="E11" s="692"/>
      <c r="F11" s="682"/>
      <c r="G11" s="683"/>
      <c r="H11" s="684"/>
      <c r="I11" s="682"/>
      <c r="J11" s="684"/>
      <c r="K11" s="684"/>
      <c r="L11" s="684"/>
      <c r="M11" s="681"/>
      <c r="N11" s="681"/>
      <c r="O11" s="684"/>
      <c r="P11" s="684"/>
      <c r="Q11" s="1128"/>
      <c r="R11" s="1128"/>
      <c r="S11" s="684"/>
      <c r="T11" s="724"/>
      <c r="U11" s="225"/>
      <c r="V11" s="1005"/>
      <c r="W11" s="682"/>
      <c r="X11" s="724"/>
      <c r="Y11" s="682"/>
      <c r="Z11" s="684"/>
      <c r="AA11" s="687"/>
      <c r="AB11" s="688"/>
      <c r="AC11" s="681"/>
      <c r="AD11" s="682"/>
      <c r="AE11" s="671"/>
      <c r="AF11" s="672"/>
      <c r="AG11" s="671"/>
      <c r="AH11" s="672"/>
      <c r="AI11" s="671"/>
      <c r="AJ11" s="672"/>
      <c r="AK11" s="682"/>
      <c r="AL11" s="689"/>
      <c r="AM11" s="689"/>
      <c r="AN11" s="690"/>
      <c r="AO11" s="691"/>
      <c r="AP11" s="692"/>
      <c r="AQ11" s="691"/>
      <c r="AR11" s="693"/>
      <c r="AS11" s="693"/>
      <c r="AT11" s="694"/>
      <c r="AU11" s="695"/>
      <c r="AV11" s="695"/>
      <c r="AW11" s="696"/>
      <c r="AX11" s="696"/>
      <c r="AY11" s="696"/>
      <c r="AZ11" s="696"/>
      <c r="BA11" s="265"/>
      <c r="BB11" s="696"/>
      <c r="BC11" s="697"/>
      <c r="BD11" s="644"/>
      <c r="BW11" s="1024">
        <f>DatosP!ER11/factor_trimestre</f>
        <v>0</v>
      </c>
      <c r="BZ11" s="1185">
        <f>DatosP!EZ11</f>
        <v>0</v>
      </c>
    </row>
    <row r="12" spans="1:78" ht="15" thickBot="1">
      <c r="A12" s="500">
        <f>DatosP!AO12</f>
        <v>0</v>
      </c>
      <c r="B12" s="506" t="s">
        <v>246</v>
      </c>
      <c r="C12" s="7" t="str">
        <f>DatosP!A12</f>
        <v xml:space="preserve">Jdos. 1ª Instª. e Instr.                        </v>
      </c>
      <c r="D12" s="507"/>
      <c r="E12" s="692"/>
      <c r="F12" s="682"/>
      <c r="G12" s="683"/>
      <c r="H12" s="684"/>
      <c r="I12" s="682"/>
      <c r="J12" s="684"/>
      <c r="K12" s="684"/>
      <c r="L12" s="684"/>
      <c r="M12" s="681"/>
      <c r="N12" s="681"/>
      <c r="O12" s="684"/>
      <c r="P12" s="684"/>
      <c r="Q12" s="1128"/>
      <c r="R12" s="1128"/>
      <c r="S12" s="684"/>
      <c r="T12" s="724"/>
      <c r="U12" s="225"/>
      <c r="V12" s="1005"/>
      <c r="W12" s="682"/>
      <c r="X12" s="724"/>
      <c r="Y12" s="682"/>
      <c r="Z12" s="684"/>
      <c r="AA12" s="687"/>
      <c r="AB12" s="688"/>
      <c r="AC12" s="681"/>
      <c r="AD12" s="682"/>
      <c r="AE12" s="671"/>
      <c r="AF12" s="672"/>
      <c r="AG12" s="671"/>
      <c r="AH12" s="672"/>
      <c r="AI12" s="671"/>
      <c r="AJ12" s="672"/>
      <c r="AK12" s="682"/>
      <c r="AL12" s="689"/>
      <c r="AM12" s="689"/>
      <c r="AN12" s="690"/>
      <c r="AO12" s="691"/>
      <c r="AP12" s="692"/>
      <c r="AQ12" s="691"/>
      <c r="AR12" s="693"/>
      <c r="AS12" s="693"/>
      <c r="AT12" s="694"/>
      <c r="AU12" s="695"/>
      <c r="AV12" s="695"/>
      <c r="AW12" s="696"/>
      <c r="AX12" s="696"/>
      <c r="AY12" s="696"/>
      <c r="AZ12" s="696"/>
      <c r="BA12" s="265"/>
      <c r="BB12" s="696"/>
      <c r="BC12" s="697"/>
      <c r="BD12" s="644"/>
      <c r="BW12" s="1024">
        <f>DatosP!ER12/factor_trimestre</f>
        <v>0</v>
      </c>
      <c r="BZ12" s="1185">
        <f>DatosP!EZ12</f>
        <v>0</v>
      </c>
    </row>
    <row r="13" spans="1:78" ht="15.75" thickTop="1" thickBot="1">
      <c r="A13" s="700"/>
      <c r="B13" s="700"/>
      <c r="C13" s="935" t="str">
        <f>DatosP!A13</f>
        <v>TOTAL</v>
      </c>
      <c r="D13" s="936"/>
      <c r="E13" s="947">
        <f t="shared" ref="E13:W13" si="0">SUBTOTAL(9,E8:E12)</f>
        <v>0</v>
      </c>
      <c r="F13" s="937">
        <f t="shared" si="0"/>
        <v>0</v>
      </c>
      <c r="G13" s="937">
        <f t="shared" si="0"/>
        <v>0</v>
      </c>
      <c r="H13" s="938">
        <f t="shared" si="0"/>
        <v>0</v>
      </c>
      <c r="I13" s="937">
        <f t="shared" si="0"/>
        <v>0</v>
      </c>
      <c r="J13" s="939">
        <f t="shared" si="0"/>
        <v>0</v>
      </c>
      <c r="K13" s="938">
        <f t="shared" si="0"/>
        <v>0</v>
      </c>
      <c r="L13" s="938">
        <f t="shared" si="0"/>
        <v>0</v>
      </c>
      <c r="M13" s="940">
        <f t="shared" si="0"/>
        <v>0</v>
      </c>
      <c r="N13" s="940">
        <f t="shared" si="0"/>
        <v>0</v>
      </c>
      <c r="O13" s="938">
        <f t="shared" si="0"/>
        <v>0</v>
      </c>
      <c r="P13" s="938">
        <f t="shared" si="0"/>
        <v>0</v>
      </c>
      <c r="Q13" s="1129">
        <f t="shared" si="0"/>
        <v>0</v>
      </c>
      <c r="R13" s="1129">
        <f t="shared" si="0"/>
        <v>0</v>
      </c>
      <c r="S13" s="938">
        <f t="shared" si="0"/>
        <v>0</v>
      </c>
      <c r="T13" s="1129">
        <f t="shared" si="0"/>
        <v>0</v>
      </c>
      <c r="U13" s="866">
        <f t="shared" si="0"/>
        <v>0</v>
      </c>
      <c r="V13" s="1006">
        <f t="shared" si="0"/>
        <v>0</v>
      </c>
      <c r="W13" s="938">
        <f t="shared" si="0"/>
        <v>0</v>
      </c>
      <c r="X13" s="942" t="str">
        <f>IF(ISNUMBER((W13*factor_trimestre)/DatosP!CN13),(W13*factor_trimestre)/DatosP!CN13,"-")</f>
        <v>-</v>
      </c>
      <c r="Y13" s="938">
        <f t="shared" ref="Y13:AN13" si="1">SUBTOTAL(9,Y8:Y12)</f>
        <v>0</v>
      </c>
      <c r="Z13" s="938">
        <f t="shared" si="1"/>
        <v>0</v>
      </c>
      <c r="AA13" s="938">
        <f t="shared" si="1"/>
        <v>0</v>
      </c>
      <c r="AB13" s="938">
        <f t="shared" si="1"/>
        <v>0</v>
      </c>
      <c r="AC13" s="938">
        <f t="shared" si="1"/>
        <v>0</v>
      </c>
      <c r="AD13" s="938">
        <f t="shared" si="1"/>
        <v>0</v>
      </c>
      <c r="AE13" s="938">
        <f t="shared" si="1"/>
        <v>0</v>
      </c>
      <c r="AF13" s="938">
        <f t="shared" si="1"/>
        <v>0</v>
      </c>
      <c r="AG13" s="938">
        <f t="shared" si="1"/>
        <v>0</v>
      </c>
      <c r="AH13" s="938">
        <f t="shared" si="1"/>
        <v>0</v>
      </c>
      <c r="AI13" s="938">
        <f t="shared" si="1"/>
        <v>0</v>
      </c>
      <c r="AJ13" s="938">
        <f t="shared" si="1"/>
        <v>0</v>
      </c>
      <c r="AK13" s="938">
        <f t="shared" si="1"/>
        <v>0</v>
      </c>
      <c r="AL13" s="938">
        <f t="shared" si="1"/>
        <v>0</v>
      </c>
      <c r="AM13" s="938">
        <f t="shared" si="1"/>
        <v>0</v>
      </c>
      <c r="AN13" s="938">
        <f t="shared" si="1"/>
        <v>0</v>
      </c>
      <c r="AO13" s="938" t="str">
        <f>IF(ISNUMBER(DatosP!K13/DatosP!J13),DatosP!K13/DatosP!J13," - ")</f>
        <v xml:space="preserve"> - </v>
      </c>
      <c r="AP13" s="943" t="str">
        <f>IF(ISNUMBER(((DatosP!L13/DatosP!K13)*11)/factor_trimestre),((DatosP!L13/DatosP!K13)*11)/factor_trimestre," - ")</f>
        <v xml:space="preserve"> - </v>
      </c>
      <c r="AQ13" s="938">
        <f>IF(ISNUMBER('Resol  Asuntos'!D13/NºAsuntos!G13),'Resol  Asuntos'!D13/NºAsuntos!G13," - ")</f>
        <v>0.17462165308498254</v>
      </c>
      <c r="AR13" s="938" t="str">
        <f>IF(ISNUMBER(DatosP!CI13/DatosP!CJ13),DatosP!CI13/DatosP!CJ13," - ")</f>
        <v xml:space="preserve"> - </v>
      </c>
      <c r="AS13" s="944" t="str">
        <f>IF(ISNUMBER((I13-Y13+K13)/(F13-K13)),(I13-Y13+K13)/(F13-K13)," - ")</f>
        <v xml:space="preserve"> - </v>
      </c>
      <c r="AT13" s="944">
        <f>SUBTOTAL(9,AT9:AT12)</f>
        <v>0</v>
      </c>
      <c r="AU13" s="938">
        <f t="shared" ref="AU13:BA13" si="2">SUBTOTAL(9,AU8:AU12)</f>
        <v>0</v>
      </c>
      <c r="AV13" s="938">
        <f t="shared" si="2"/>
        <v>0</v>
      </c>
      <c r="AW13" s="938">
        <f t="shared" si="2"/>
        <v>0</v>
      </c>
      <c r="AX13" s="938">
        <f t="shared" si="2"/>
        <v>0</v>
      </c>
      <c r="AY13" s="938">
        <f t="shared" si="2"/>
        <v>0</v>
      </c>
      <c r="AZ13" s="938">
        <f t="shared" si="2"/>
        <v>0</v>
      </c>
      <c r="BA13" s="898">
        <f t="shared" si="2"/>
        <v>0</v>
      </c>
      <c r="BB13" s="938"/>
      <c r="BC13" s="938"/>
      <c r="BW13" s="898"/>
      <c r="BZ13" s="1185"/>
    </row>
    <row r="14" spans="1:78" ht="15" thickTop="1">
      <c r="A14" s="509"/>
      <c r="B14" s="509"/>
      <c r="C14" s="285" t="str">
        <f>DatosP!A14</f>
        <v xml:space="preserve">Jurisdicción Penal ( 2 ):                      </v>
      </c>
      <c r="D14" s="510"/>
      <c r="E14" s="703"/>
      <c r="F14" s="704"/>
      <c r="G14" s="704"/>
      <c r="H14" s="705"/>
      <c r="I14" s="706"/>
      <c r="J14" s="664"/>
      <c r="K14" s="705"/>
      <c r="L14" s="684"/>
      <c r="M14" s="705"/>
      <c r="N14" s="705"/>
      <c r="O14" s="684"/>
      <c r="P14" s="684"/>
      <c r="Q14" s="1130"/>
      <c r="R14" s="1130"/>
      <c r="S14" s="684"/>
      <c r="T14" s="708"/>
      <c r="U14" s="299"/>
      <c r="V14" s="1007"/>
      <c r="W14" s="682"/>
      <c r="X14" s="708"/>
      <c r="Y14" s="682"/>
      <c r="Z14" s="684"/>
      <c r="AA14" s="706"/>
      <c r="AB14" s="688"/>
      <c r="AC14" s="681"/>
      <c r="AD14" s="682"/>
      <c r="AE14" s="671"/>
      <c r="AF14" s="672"/>
      <c r="AG14" s="671"/>
      <c r="AH14" s="672"/>
      <c r="AI14" s="671"/>
      <c r="AJ14" s="672"/>
      <c r="AK14" s="682"/>
      <c r="AL14" s="689"/>
      <c r="AM14" s="689"/>
      <c r="AN14" s="690"/>
      <c r="AO14" s="691"/>
      <c r="AP14" s="692"/>
      <c r="AQ14" s="691"/>
      <c r="AR14" s="693"/>
      <c r="AS14" s="693"/>
      <c r="AT14" s="709"/>
      <c r="AU14" s="710"/>
      <c r="AV14" s="710"/>
      <c r="AW14" s="696"/>
      <c r="AX14" s="696"/>
      <c r="AY14" s="703"/>
      <c r="AZ14" s="703"/>
      <c r="BA14" s="514"/>
      <c r="BB14" s="696"/>
      <c r="BC14" s="697"/>
      <c r="BW14" s="479"/>
      <c r="BZ14" s="1186"/>
    </row>
    <row r="15" spans="1:78" s="720" customFormat="1" ht="15">
      <c r="A15" s="592">
        <f>DatosP!AO15</f>
        <v>0</v>
      </c>
      <c r="B15" s="593" t="s">
        <v>396</v>
      </c>
      <c r="C15" s="599" t="str">
        <f>DatosP!A15</f>
        <v xml:space="preserve">Jdos. Instrucción                               </v>
      </c>
      <c r="D15" s="600"/>
      <c r="E15" s="1171"/>
      <c r="F15" s="713"/>
      <c r="G15" s="714"/>
      <c r="H15" s="715"/>
      <c r="I15" s="713"/>
      <c r="J15" s="684"/>
      <c r="K15" s="715"/>
      <c r="L15" s="684"/>
      <c r="M15" s="716"/>
      <c r="N15" s="716"/>
      <c r="O15" s="684"/>
      <c r="P15" s="684"/>
      <c r="Q15" s="1131"/>
      <c r="R15" s="1131"/>
      <c r="S15" s="684"/>
      <c r="T15" s="708"/>
      <c r="U15" s="225" t="str">
        <f>IF(ISNUMBER(DatosP!EO15),DatosP!EO15," - ")</f>
        <v xml:space="preserve"> - </v>
      </c>
      <c r="V15" s="1005" t="e">
        <f>(U15/DatosP!ER15)*factor_trimestre</f>
        <v>#VALUE!</v>
      </c>
      <c r="W15" s="682"/>
      <c r="X15" s="708"/>
      <c r="Y15" s="682"/>
      <c r="Z15" s="684"/>
      <c r="AA15" s="718"/>
      <c r="AB15" s="688"/>
      <c r="AC15" s="681"/>
      <c r="AD15" s="682"/>
      <c r="AE15" s="671"/>
      <c r="AF15" s="672"/>
      <c r="AG15" s="671"/>
      <c r="AH15" s="672"/>
      <c r="AI15" s="671"/>
      <c r="AJ15" s="672"/>
      <c r="AK15" s="682"/>
      <c r="AL15" s="689"/>
      <c r="AM15" s="689"/>
      <c r="AN15" s="690"/>
      <c r="AO15" s="691" t="str">
        <f>IF(ISNUMBER(IF(D_I="SI",DatosP!K15/DatosP!J15,(DatosP!K15+DatosP!AE15)/(DatosP!J15+DatosP!AD15))),IF(D_I="SI",DatosP!K15/DatosP!J15,(DatosP!K15+DatosP!AE15)/(DatosP!J15+DatosP!AD15))," - ")</f>
        <v xml:space="preserve"> - </v>
      </c>
      <c r="AP15" s="692" t="str">
        <f>IF(ISNUMBER(((IF(D_I="SI",DatosP!L15/DatosP!K15,(DatosP!L15+DatosP!AF15)/(DatosP!K15+DatosP!AE15)))*11)/factor_trimestre),((IF(D_I="SI",DatosP!L15/DatosP!K15,(DatosP!L15+DatosP!AF15)/(DatosP!K15+DatosP!AE15)))*11)/factor_trimestre," - ")</f>
        <v xml:space="preserve"> - </v>
      </c>
      <c r="AQ15" s="691"/>
      <c r="AR15" s="693"/>
      <c r="AS15" s="693"/>
      <c r="AT15" s="709"/>
      <c r="AU15" s="719"/>
      <c r="AV15" s="719"/>
      <c r="AW15" s="696"/>
      <c r="AX15" s="696"/>
      <c r="AY15" s="712"/>
      <c r="AZ15" s="712"/>
      <c r="BA15" s="596"/>
      <c r="BB15" s="696"/>
      <c r="BC15" s="697"/>
      <c r="BW15" s="1024">
        <f>DatosP!ER15/factor_trimestre</f>
        <v>0</v>
      </c>
      <c r="BZ15" s="1186">
        <f>DatosP!EZ15</f>
        <v>0</v>
      </c>
    </row>
    <row r="16" spans="1:78" ht="15">
      <c r="A16" s="500">
        <f>DatosP!AO16</f>
        <v>0</v>
      </c>
      <c r="B16" s="506" t="s">
        <v>396</v>
      </c>
      <c r="C16" s="159" t="str">
        <f>DatosP!A16</f>
        <v xml:space="preserve">Jdos. 1ª Instª. e Instr.                        </v>
      </c>
      <c r="D16" s="501"/>
      <c r="E16" s="1172" t="str">
        <f>IF(ISNUMBER(DatosP!AQ16),DatosP!AQ16," - ")</f>
        <v xml:space="preserve"> - </v>
      </c>
      <c r="F16" s="682" t="str">
        <f>IF(ISNUMBER(AA16+Y16-DatosP!J16-K16),AA16+Y16-DatosP!J16-K16," - ")</f>
        <v xml:space="preserve"> - </v>
      </c>
      <c r="G16" s="683" t="str">
        <f>IF(ISNUMBER(IF(D_I="SI",DatosP!I16,DatosP!I16+DatosP!AC16)),IF(D_I="SI",DatosP!I16,DatosP!I16+DatosP!AC16)," - ")</f>
        <v xml:space="preserve"> - </v>
      </c>
      <c r="H16" s="684"/>
      <c r="I16" s="682" t="str">
        <f>IF(ISNUMBER(DatosP!DC16),DatosP!DC16," - ")</f>
        <v xml:space="preserve"> - </v>
      </c>
      <c r="J16" s="684" t="str">
        <f>IF(ISNUMBER(DatosP!DC16),DatosP!DC16," - ")</f>
        <v xml:space="preserve"> - </v>
      </c>
      <c r="K16" s="684">
        <f>IF(ISNUMBER(DatosP!DF16),DatosP!DF16,0)</f>
        <v>0</v>
      </c>
      <c r="L16" s="684">
        <f>IF(ISNUMBER(DatosP!DM16),DatosP!DM16,0)</f>
        <v>0</v>
      </c>
      <c r="M16" s="681"/>
      <c r="N16" s="681"/>
      <c r="O16" s="684">
        <f>IF(ISNUMBER(DatosP!P16),DatosP!P16,0)</f>
        <v>0</v>
      </c>
      <c r="P16" s="684" t="str">
        <f>IF(ISNUMBER(DatosP!DE16),DatosP!DE16," - ")</f>
        <v xml:space="preserve"> - </v>
      </c>
      <c r="Q16" s="1128"/>
      <c r="R16" s="1128"/>
      <c r="S16" s="684" t="str">
        <f>IF(ISNUMBER(DatosP!AS16/E16),DatosP!AS16/E16," - ")</f>
        <v xml:space="preserve"> - </v>
      </c>
      <c r="T16" s="724" t="str">
        <f>IF(ISNUMBER(S16/(DatosP!BM16/factor_trimestre)),S16/(DatosP!BM16/factor_trimestre)," - ")</f>
        <v xml:space="preserve"> - </v>
      </c>
      <c r="U16" s="225" t="str">
        <f>IF(ISNUMBER(DatosP!EO16),DatosP!EO16," - ")</f>
        <v xml:space="preserve"> - </v>
      </c>
      <c r="V16" s="1005" t="e">
        <f>(U16/DatosP!ER16)*factor_trimestre</f>
        <v>#VALUE!</v>
      </c>
      <c r="W16" s="682" t="str">
        <f>IF(ISNUMBER(DatosP!BY16),DatosP!BY16," - ")</f>
        <v xml:space="preserve"> - </v>
      </c>
      <c r="X16" s="724" t="str">
        <f>IF(ISNUMBER((W16*factor_trimestre)/DatosP!CN16),(W16*factor_trimestre)/DatosP!CN16,"-")</f>
        <v>-</v>
      </c>
      <c r="Y16" s="682" t="str">
        <f>IF(ISNUMBER(IF(D_I="SI",DatosP!K16,DatosP!K16+DatosP!AE16)),IF(D_I="SI",DatosP!K16,DatosP!K16+DatosP!AE16)," - ")</f>
        <v xml:space="preserve"> - </v>
      </c>
      <c r="Z16" s="684" t="str">
        <f>IF(ISNUMBER(DatosP!Q16),DatosP!Q16," - ")</f>
        <v xml:space="preserve"> - </v>
      </c>
      <c r="AA16" s="687" t="str">
        <f>IF(ISNUMBER(IF(D_I="SI",DatosP!L16,DatosP!L16+DatosP!AF16)),IF(D_I="SI",DatosP!L16,DatosP!L16+DatosP!AF16)," - ")</f>
        <v xml:space="preserve"> - </v>
      </c>
      <c r="AB16" s="688" t="str">
        <f>IF(ISNUMBER(DatosP!R16),DatosP!R16," - ")</f>
        <v xml:space="preserve"> - </v>
      </c>
      <c r="AC16" s="681" t="str">
        <f>IF(ISNUMBER(DatosP!BV16),DatosP!BV16," - ")</f>
        <v xml:space="preserve"> - </v>
      </c>
      <c r="AD16" s="682" t="str">
        <f>IF(ISNUMBER(DatosP!CK16),DatosP!CK16," - ")</f>
        <v xml:space="preserve"> - </v>
      </c>
      <c r="AE16" s="671" t="str">
        <f>IF(ISNUMBER(DatosP!CL16),DatosP!CL16," - ")</f>
        <v xml:space="preserve"> - </v>
      </c>
      <c r="AF16" s="672" t="str">
        <f>IF(ISNUMBER(DatosP!CM16),DatosP!CM16," - ")</f>
        <v xml:space="preserve"> - </v>
      </c>
      <c r="AG16" s="671" t="str">
        <f>IF(ISNUMBER(DatosP!DV16),DatosP!DV16," - ")</f>
        <v xml:space="preserve"> - </v>
      </c>
      <c r="AH16" s="672"/>
      <c r="AI16" s="671"/>
      <c r="AJ16" s="672"/>
      <c r="AK16" s="682" t="str">
        <f>IF(ISNUMBER(DatosP!M16),DatosP!M16," - ")</f>
        <v xml:space="preserve"> - </v>
      </c>
      <c r="AL16" s="689" t="str">
        <f>IF(ISNUMBER(DatosP!N16),DatosP!N16," - ")</f>
        <v xml:space="preserve"> - </v>
      </c>
      <c r="AM16" s="689" t="str">
        <f>IF(ISNUMBER(DatosP!BW16),DatosP!BW16," - ")</f>
        <v xml:space="preserve"> - </v>
      </c>
      <c r="AN16" s="690" t="str">
        <f>IF(ISNUMBER(DatosP!BX16),DatosP!BX16," - ")</f>
        <v xml:space="preserve"> - </v>
      </c>
      <c r="AO16" s="691" t="str">
        <f>IF(ISNUMBER(IF(D_I="SI",DatosP!K16/DatosP!J16,(DatosP!K16+DatosP!AE16)/(DatosP!J16+DatosP!AD16))),IF(D_I="SI",DatosP!K16/DatosP!J16,(DatosP!K16+DatosP!AE16)/(DatosP!J16+DatosP!AD16))," - ")</f>
        <v xml:space="preserve"> - </v>
      </c>
      <c r="AP16" s="692" t="str">
        <f>IF(ISNUMBER(((IF(D_I="SI",DatosP!L16/DatosP!K16,(DatosP!L16+DatosP!AF16)/(DatosP!K16+DatosP!AE16)))*11)/factor_trimestre),((IF(D_I="SI",DatosP!L16/DatosP!K16,(DatosP!L16+DatosP!AF16)/(DatosP!K16+DatosP!AE16)))*11)/factor_trimestre," - ")</f>
        <v xml:space="preserve"> - </v>
      </c>
      <c r="AQ16" s="691" t="str">
        <f>IF(ISNUMBER(DatosP!M16/(IF(D_I="SI",DatosP!K16,DatosP!K16+DatosP!AE16))),DatosP!M16/(IF(D_I="SI",DatosP!K16,DatosP!K16+DatosP!AE16))," - ")</f>
        <v xml:space="preserve"> - </v>
      </c>
      <c r="AR16" s="693" t="str">
        <f>IF(ISNUMBER(DatosP!CI16/DatosP!CJ16),DatosP!CI16/DatosP!CJ16," - ")</f>
        <v xml:space="preserve"> - </v>
      </c>
      <c r="AS16" s="693" t="str">
        <f>IF(ISNUMBER((J16-Y16+K16)/(F16)),(J16-Y16+K16)/(F16)," - ")</f>
        <v xml:space="preserve"> - </v>
      </c>
      <c r="AT16" s="694" t="str">
        <f>IF(ISNUMBER((DatosP!P16-DatosP!Q16+P16)/(DatosP!R16-DatosP!P16+DatosP!Q16-P16)),(DatosP!P16-DatosP!Q16+P16)/(DatosP!R16-DatosP!P16+DatosP!Q16-P16)," - ")</f>
        <v xml:space="preserve"> - </v>
      </c>
      <c r="AU16" s="722" t="str">
        <f>IF(ISNUMBER(DatosP!CS16),DatosP!CS16," - ")</f>
        <v xml:space="preserve"> - </v>
      </c>
      <c r="AV16" s="722" t="str">
        <f>IF(ISNUMBER(DatosP!EI16),DatosP!EI16," - ")</f>
        <v xml:space="preserve"> - </v>
      </c>
      <c r="AW16" s="696" t="str">
        <f>IF(ISNUMBER(DatosP!EV16),DatosP!EV16," - ")</f>
        <v xml:space="preserve"> - </v>
      </c>
      <c r="AX16" s="696" t="str">
        <f>IF(ISNUMBER(DatosP!CW16),DatosP!CW16," - ")</f>
        <v xml:space="preserve"> - </v>
      </c>
      <c r="AY16" s="696"/>
      <c r="AZ16" s="696"/>
      <c r="BA16" s="596"/>
      <c r="BB16" s="696">
        <f>DatosP!CX16</f>
        <v>0</v>
      </c>
      <c r="BC16" s="697">
        <f>DatosP!DU16</f>
        <v>0</v>
      </c>
      <c r="BD16" s="644"/>
      <c r="BW16" s="1024">
        <f>DatosP!ER16/factor_trimestre</f>
        <v>0</v>
      </c>
      <c r="BZ16" s="1186">
        <f>DatosP!EZ16</f>
        <v>0</v>
      </c>
    </row>
    <row r="17" spans="1:78" ht="15.75" thickBot="1">
      <c r="A17" s="500">
        <f>DatosP!AO17</f>
        <v>0</v>
      </c>
      <c r="B17" s="506" t="s">
        <v>396</v>
      </c>
      <c r="C17" s="7" t="str">
        <f>DatosP!A17</f>
        <v>Jdos. Violencia contra la mujer</v>
      </c>
      <c r="D17" s="507"/>
      <c r="E17" s="1172" t="str">
        <f>IF(ISNUMBER(DatosP!AQ17),DatosP!AQ17," - ")</f>
        <v xml:space="preserve"> - </v>
      </c>
      <c r="F17" s="682" t="str">
        <f>IF(ISNUMBER(AA17+Y17-I17-K17),AA17+Y17-I17-K17," - ")</f>
        <v xml:space="preserve"> - </v>
      </c>
      <c r="G17" s="683" t="str">
        <f>IF(ISNUMBER(IF(D_I="SI",DatosP!I17,DatosP!I17+DatosP!AC17)),IF(D_I="SI",DatosP!I17,DatosP!I17+DatosP!AC17)," - ")</f>
        <v xml:space="preserve"> - </v>
      </c>
      <c r="H17" s="684"/>
      <c r="I17" s="682" t="str">
        <f>IF(ISNUMBER(DatosP!DB17),DatosP!DB17," - ")</f>
        <v xml:space="preserve"> - </v>
      </c>
      <c r="J17" s="684" t="str">
        <f>IF(ISNUMBER(DatosP!DC17),DatosP!DC17," - ")</f>
        <v xml:space="preserve"> - </v>
      </c>
      <c r="K17" s="684">
        <f>IF(ISNUMBER(DatosP!DF17),DatosP!DF17,0)</f>
        <v>0</v>
      </c>
      <c r="L17" s="684">
        <f>IF(ISNUMBER(DatosP!DM17),DatosP!DM17,0)</f>
        <v>0</v>
      </c>
      <c r="M17" s="681" t="str">
        <f>IF(ISNUMBER(DatosP!EB17),DatosP!EB17," - ")</f>
        <v xml:space="preserve"> - </v>
      </c>
      <c r="N17" s="681" t="str">
        <f>IF(ISNUMBER(DatosP!EC17),DatosP!EC17," - ")</f>
        <v xml:space="preserve"> - </v>
      </c>
      <c r="O17" s="684">
        <f>IF(ISNUMBER(DatosP!P17),DatosP!P17,0)</f>
        <v>0</v>
      </c>
      <c r="P17" s="684" t="str">
        <f>IF(ISNUMBER(DatosP!DE17),DatosP!DE17," - ")</f>
        <v xml:space="preserve"> - </v>
      </c>
      <c r="Q17" s="1128" t="str">
        <f>IF(ISNUMBER(DatosP!EB17*factor_trimestre/DatosP!EE17),DatosP!EB17*factor_trimestre/DatosP!EE17," - ")</f>
        <v xml:space="preserve"> - </v>
      </c>
      <c r="R17" s="1128" t="str">
        <f>IF(ISNUMBER(DatosP!EC17*factor_trimestre/DatosP!EF17),DatosP!EC17*factor_trimestre/DatosP!EF17," - ")</f>
        <v xml:space="preserve"> - </v>
      </c>
      <c r="S17" s="684" t="str">
        <f>IF(ISNUMBER((DatosP!AS17+DatosP!AT17)/E17),(DatosP!AS17+DatosP!AT17)/E17," - ")</f>
        <v xml:space="preserve"> - </v>
      </c>
      <c r="T17" s="724" t="str">
        <f>IF(ISNUMBER(S17/(DatosP!BM17/factor_trimestre)),S17/(DatosP!BM17/factor_trimestre)," - ")</f>
        <v xml:space="preserve"> - </v>
      </c>
      <c r="U17" s="225" t="str">
        <f>IF(ISNUMBER(DatosP!EO17),DatosP!EO17," - ")</f>
        <v xml:space="preserve"> - </v>
      </c>
      <c r="V17" s="1005" t="e">
        <f>(U17/DatosP!ER17)*factor_trimestre</f>
        <v>#VALUE!</v>
      </c>
      <c r="W17" s="682">
        <f>IF(ISNUMBER(DatosP!BY17+DatosP!BZ17),DatosP!BY17+DatosP!BZ17," - ")</f>
        <v>0</v>
      </c>
      <c r="X17" s="724" t="str">
        <f>IF(ISNUMBER((W17*factor_trimestre)/DatosP!CN17),(W17*factor_trimestre)/DatosP!CN17,"-")</f>
        <v>-</v>
      </c>
      <c r="Y17" s="682" t="str">
        <f>IF(ISNUMBER(IF(D_I="SI",DatosP!K17,DatosP!K17+DatosP!AE17)),IF(D_I="SI",DatosP!K17,DatosP!K17+DatosP!AE17)," - ")</f>
        <v xml:space="preserve"> - </v>
      </c>
      <c r="Z17" s="684" t="str">
        <f>IF(ISNUMBER(DatosP!Q17),DatosP!Q17," - ")</f>
        <v xml:space="preserve"> - </v>
      </c>
      <c r="AA17" s="687" t="str">
        <f>IF(ISNUMBER(DatosP!L17),DatosP!L17,"-")</f>
        <v>-</v>
      </c>
      <c r="AB17" s="688" t="str">
        <f>IF(ISNUMBER(DatosP!R17),DatosP!R17," - ")</f>
        <v xml:space="preserve"> - </v>
      </c>
      <c r="AC17" s="681" t="str">
        <f>IF(ISNUMBER(DatosP!BV17),DatosP!BV17," - ")</f>
        <v xml:space="preserve"> - </v>
      </c>
      <c r="AD17" s="682" t="str">
        <f>IF(ISNUMBER(DatosP!CK17),DatosP!CK17," - ")</f>
        <v xml:space="preserve"> - </v>
      </c>
      <c r="AE17" s="671" t="str">
        <f>IF(ISNUMBER(DatosP!CL17),DatosP!CL17," - ")</f>
        <v xml:space="preserve"> - </v>
      </c>
      <c r="AF17" s="672" t="str">
        <f>IF(ISNUMBER(DatosP!CM17),DatosP!CM17," - ")</f>
        <v xml:space="preserve"> - </v>
      </c>
      <c r="AG17" s="671" t="str">
        <f>IF(ISNUMBER(DatosP!DV17),DatosP!DV17," - ")</f>
        <v xml:space="preserve"> - </v>
      </c>
      <c r="AH17" s="672"/>
      <c r="AI17" s="671"/>
      <c r="AJ17" s="672"/>
      <c r="AK17" s="682" t="str">
        <f>IF(ISNUMBER(DatosP!M17),DatosP!M17," - ")</f>
        <v xml:space="preserve"> - </v>
      </c>
      <c r="AL17" s="689" t="str">
        <f>IF(ISNUMBER(DatosP!N17),DatosP!N17," - ")</f>
        <v xml:space="preserve"> - </v>
      </c>
      <c r="AM17" s="689" t="str">
        <f>IF(ISNUMBER(DatosP!BW17),DatosP!BW17," - ")</f>
        <v xml:space="preserve"> - </v>
      </c>
      <c r="AN17" s="690" t="str">
        <f>IF(ISNUMBER(DatosP!BX17),DatosP!BX17," - ")</f>
        <v xml:space="preserve"> - </v>
      </c>
      <c r="AO17" s="691" t="str">
        <f>IF(ISNUMBER(IF(D_I="SI",DatosP!K17/DatosP!J17,(DatosP!K17+DatosP!AE17)/(DatosP!J17+DatosP!AD17))),IF(D_I="SI",DatosP!K17/DatosP!J17,(DatosP!K17+DatosP!AE17)/(DatosP!J17+DatosP!AD17))," - ")</f>
        <v xml:space="preserve"> - </v>
      </c>
      <c r="AP17" s="692" t="str">
        <f>IF(ISNUMBER(((IF(D_I="SI",DatosP!L17/DatosP!K17,(DatosP!L17+DatosP!AF17)/(DatosP!K17+DatosP!AE17)))*11)/factor_trimestre),((IF(D_I="SI",DatosP!L17/DatosP!K17,(DatosP!L17+DatosP!AF17)/(DatosP!K17+DatosP!AE17)))*11)/factor_trimestre," - ")</f>
        <v xml:space="preserve"> - </v>
      </c>
      <c r="AQ17" s="691" t="str">
        <f>IF(ISNUMBER(DatosP!M17/(IF(D_I="SI",DatosP!K17,DatosP!K17+DatosP!AE17))),DatosP!M17/(IF(D_I="SI",DatosP!K17,DatosP!K17+DatosP!AE17))," - ")</f>
        <v xml:space="preserve"> - </v>
      </c>
      <c r="AR17" s="693" t="str">
        <f>IF(ISNUMBER(DatosP!CI17/DatosP!CJ17),DatosP!CI17/DatosP!CJ17," - ")</f>
        <v xml:space="preserve"> - </v>
      </c>
      <c r="AS17" s="693" t="str">
        <f>IF(ISNUMBER((I17-Y17+K17)/(F17)),(I17-Y17+K17)/(F17)," - ")</f>
        <v xml:space="preserve"> - </v>
      </c>
      <c r="AT17" s="694" t="str">
        <f>IF(ISNUMBER((DatosP!P17-DatosP!Q17+P17)/(DatosP!R17-DatosP!P17+DatosP!Q17-P17)),(DatosP!P17-DatosP!Q17+P17)/(DatosP!R17-DatosP!P17+DatosP!Q17-P17)," - ")</f>
        <v xml:space="preserve"> - </v>
      </c>
      <c r="AU17" s="722" t="str">
        <f>IF(ISNUMBER(DatosP!CS17),DatosP!CS17," - ")</f>
        <v xml:space="preserve"> - </v>
      </c>
      <c r="AV17" s="722" t="str">
        <f>IF(ISNUMBER(DatosP!EI17),DatosP!EI17," - ")</f>
        <v xml:space="preserve"> - </v>
      </c>
      <c r="AW17" s="696" t="str">
        <f>IF(ISNUMBER(DatosP!EV17),DatosP!EV17," - ")</f>
        <v xml:space="preserve"> - </v>
      </c>
      <c r="AX17" s="696" t="str">
        <f>IF(ISNUMBER(DatosP!CW17),DatosP!CW17," - ")</f>
        <v xml:space="preserve"> - </v>
      </c>
      <c r="AY17" s="696"/>
      <c r="AZ17" s="696"/>
      <c r="BA17" s="265"/>
      <c r="BB17" s="696">
        <f>DatosP!CX17</f>
        <v>0</v>
      </c>
      <c r="BC17" s="697">
        <f>DatosP!DU17</f>
        <v>0</v>
      </c>
      <c r="BD17" s="644"/>
      <c r="BW17" s="1024">
        <f>DatosP!ER17/factor_trimestre</f>
        <v>0</v>
      </c>
      <c r="BZ17" s="1186">
        <f>DatosP!EZ17</f>
        <v>0</v>
      </c>
    </row>
    <row r="18" spans="1:78" ht="15.75" thickTop="1" thickBot="1">
      <c r="A18" s="700"/>
      <c r="B18" s="700"/>
      <c r="C18" s="935" t="str">
        <f>DatosP!A18</f>
        <v>TOTAL</v>
      </c>
      <c r="D18" s="936"/>
      <c r="E18" s="947">
        <f>SUBTOTAL(9,E15:E17)</f>
        <v>0</v>
      </c>
      <c r="F18" s="937">
        <f>SUBTOTAL(9,F15:F17)</f>
        <v>0</v>
      </c>
      <c r="G18" s="937">
        <f>SUBTOTAL(9,G15:G17)</f>
        <v>0</v>
      </c>
      <c r="H18" s="938">
        <f>SUBTOTAL(9,H15:H17)</f>
        <v>0</v>
      </c>
      <c r="I18" s="937">
        <f>SUBTOTAL(9,I15:I17)</f>
        <v>0</v>
      </c>
      <c r="J18" s="939">
        <f>SUBTOTAL(9,J14:J17)</f>
        <v>0</v>
      </c>
      <c r="K18" s="938">
        <f t="shared" ref="K18:T18" si="3">SUBTOTAL(9,K15:K17)</f>
        <v>0</v>
      </c>
      <c r="L18" s="938">
        <f t="shared" si="3"/>
        <v>0</v>
      </c>
      <c r="M18" s="940">
        <f t="shared" si="3"/>
        <v>0</v>
      </c>
      <c r="N18" s="940">
        <f t="shared" si="3"/>
        <v>0</v>
      </c>
      <c r="O18" s="938">
        <f t="shared" si="3"/>
        <v>0</v>
      </c>
      <c r="P18" s="938">
        <f t="shared" si="3"/>
        <v>0</v>
      </c>
      <c r="Q18" s="1129">
        <f t="shared" si="3"/>
        <v>0</v>
      </c>
      <c r="R18" s="1129">
        <f t="shared" si="3"/>
        <v>0</v>
      </c>
      <c r="S18" s="938">
        <f t="shared" si="3"/>
        <v>0</v>
      </c>
      <c r="T18" s="1129">
        <f t="shared" si="3"/>
        <v>0</v>
      </c>
      <c r="U18" s="863">
        <f>SUBTOTAL(9,U14:U17)</f>
        <v>0</v>
      </c>
      <c r="V18" s="1008" t="e">
        <f>SUBTOTAL(9,V14:V17)</f>
        <v>#VALUE!</v>
      </c>
      <c r="W18" s="938">
        <f>SUBTOTAL(9,W15:W17)</f>
        <v>0</v>
      </c>
      <c r="X18" s="942" t="str">
        <f>IF(ISNUMBER((W18*factor_trimestre)/DatosP!CN18),(W18*factor_trimestre)/DatosP!CN18,"-")</f>
        <v>-</v>
      </c>
      <c r="Y18" s="938">
        <f t="shared" ref="Y18:AN18" si="4">SUBTOTAL(9,Y15:Y17)</f>
        <v>0</v>
      </c>
      <c r="Z18" s="938">
        <f t="shared" si="4"/>
        <v>0</v>
      </c>
      <c r="AA18" s="938">
        <f t="shared" si="4"/>
        <v>0</v>
      </c>
      <c r="AB18" s="938">
        <f t="shared" si="4"/>
        <v>0</v>
      </c>
      <c r="AC18" s="938">
        <f t="shared" si="4"/>
        <v>0</v>
      </c>
      <c r="AD18" s="938">
        <f t="shared" si="4"/>
        <v>0</v>
      </c>
      <c r="AE18" s="938">
        <f t="shared" si="4"/>
        <v>0</v>
      </c>
      <c r="AF18" s="938">
        <f t="shared" si="4"/>
        <v>0</v>
      </c>
      <c r="AG18" s="938">
        <f t="shared" si="4"/>
        <v>0</v>
      </c>
      <c r="AH18" s="938">
        <f t="shared" si="4"/>
        <v>0</v>
      </c>
      <c r="AI18" s="938">
        <f t="shared" si="4"/>
        <v>0</v>
      </c>
      <c r="AJ18" s="938">
        <f t="shared" si="4"/>
        <v>0</v>
      </c>
      <c r="AK18" s="938">
        <f t="shared" si="4"/>
        <v>0</v>
      </c>
      <c r="AL18" s="938">
        <f t="shared" si="4"/>
        <v>0</v>
      </c>
      <c r="AM18" s="938">
        <f t="shared" si="4"/>
        <v>0</v>
      </c>
      <c r="AN18" s="938">
        <f t="shared" si="4"/>
        <v>0</v>
      </c>
      <c r="AO18" s="938" t="str">
        <f>IF(ISNUMBER(DatosP!K18/DatosP!J18),DatosP!K18/DatosP!J18," - ")</f>
        <v xml:space="preserve"> - </v>
      </c>
      <c r="AP18" s="943" t="str">
        <f>IF(ISNUMBER(((DatosP!L18/DatosP!K18)*11)/factor_trimestre),((DatosP!L18/DatosP!K18)*11)/factor_trimestre," - ")</f>
        <v xml:space="preserve"> - </v>
      </c>
      <c r="AQ18" s="938">
        <f>SUBTOTAL(9,AQ15:AQ17)</f>
        <v>0</v>
      </c>
      <c r="AR18" s="938">
        <f>SUBTOTAL(9,AR15:AR17)</f>
        <v>0</v>
      </c>
      <c r="AS18" s="944" t="str">
        <f>IF(ISNUMBER((I18-Y18+K18)/(F18)),(I18-Y18+K18)/(F18)," - ")</f>
        <v xml:space="preserve"> - </v>
      </c>
      <c r="AT18" s="945" t="str">
        <f>IF(ISNUMBER((DatosP!P18-DatosP!Q18)/(DatosP!R18-DatosP!P18+DatosP!Q18)),(DatosP!P18-DatosP!Q18)/(DatosP!R18-DatosP!P18+DatosP!Q18)," - ")</f>
        <v xml:space="preserve"> - </v>
      </c>
      <c r="AU18" s="938">
        <f t="shared" ref="AU18:AZ18" si="5">SUBTOTAL(9,AU15:AU17)</f>
        <v>0</v>
      </c>
      <c r="AV18" s="938">
        <f t="shared" si="5"/>
        <v>0</v>
      </c>
      <c r="AW18" s="938">
        <f t="shared" si="5"/>
        <v>0</v>
      </c>
      <c r="AX18" s="938">
        <f t="shared" si="5"/>
        <v>0</v>
      </c>
      <c r="AY18" s="938">
        <f t="shared" si="5"/>
        <v>0</v>
      </c>
      <c r="AZ18" s="938">
        <f t="shared" si="5"/>
        <v>0</v>
      </c>
      <c r="BA18" s="898"/>
      <c r="BB18" s="938"/>
      <c r="BC18" s="946"/>
      <c r="BW18" s="905"/>
      <c r="BZ18" s="1185"/>
    </row>
    <row r="19" spans="1:78" ht="18.75" customHeight="1" thickTop="1" thickBot="1">
      <c r="A19" s="727"/>
      <c r="B19" s="727"/>
      <c r="C19" s="948" t="str">
        <f>DatosP!A19</f>
        <v>TOTAL JURISDICCIONES</v>
      </c>
      <c r="D19" s="948"/>
      <c r="E19" s="1173">
        <f t="shared" ref="E19:P19" si="6">SUBTOTAL(9,E9:E18)</f>
        <v>0</v>
      </c>
      <c r="F19" s="950">
        <f t="shared" si="6"/>
        <v>0</v>
      </c>
      <c r="G19" s="950">
        <f t="shared" si="6"/>
        <v>0</v>
      </c>
      <c r="H19" s="951">
        <f t="shared" si="6"/>
        <v>0</v>
      </c>
      <c r="I19" s="950">
        <f t="shared" si="6"/>
        <v>0</v>
      </c>
      <c r="J19" s="951">
        <f t="shared" si="6"/>
        <v>0</v>
      </c>
      <c r="K19" s="952">
        <f t="shared" si="6"/>
        <v>0</v>
      </c>
      <c r="L19" s="952">
        <f t="shared" si="6"/>
        <v>0</v>
      </c>
      <c r="M19" s="952">
        <f t="shared" si="6"/>
        <v>0</v>
      </c>
      <c r="N19" s="952">
        <f t="shared" si="6"/>
        <v>0</v>
      </c>
      <c r="O19" s="951">
        <f t="shared" si="6"/>
        <v>0</v>
      </c>
      <c r="P19" s="951">
        <f t="shared" si="6"/>
        <v>0</v>
      </c>
      <c r="Q19" s="1132">
        <f>IF(ISNUMBER(AVERAGE(Q8:Q18)),AVERAGE(Q8:Q18),"-")</f>
        <v>0</v>
      </c>
      <c r="R19" s="1132">
        <f>IF(ISNUMBER(AVERAGE(R8:R18)),AVERAGE(R8:R18),"-")</f>
        <v>0</v>
      </c>
      <c r="S19" s="951">
        <f>SUBTOTAL(9,S9:S18)</f>
        <v>0</v>
      </c>
      <c r="T19" s="1132">
        <f>IF(ISNUMBER(AVERAGE(T8:T18)),AVERAGE(T8:T18),"-")</f>
        <v>0</v>
      </c>
      <c r="U19" s="879">
        <f>SUBTOTAL(9,U9:U18)</f>
        <v>0</v>
      </c>
      <c r="V19" s="1009" t="e">
        <f>SUBTOTAL(9,V9:V18)</f>
        <v>#VALUE!</v>
      </c>
      <c r="W19" s="954">
        <f>SUBTOTAL(9,W9:W18)</f>
        <v>0</v>
      </c>
      <c r="X19" s="955" t="str">
        <f>IF(ISNUMBER(AVERAGE(X8:X18)),AVERAGE(X8:X18),"-")</f>
        <v>-</v>
      </c>
      <c r="Y19" s="956">
        <f t="shared" ref="Y19:AN19" si="7">SUBTOTAL(9,Y9:Y18)</f>
        <v>0</v>
      </c>
      <c r="Z19" s="956">
        <f t="shared" si="7"/>
        <v>0</v>
      </c>
      <c r="AA19" s="957">
        <f t="shared" si="7"/>
        <v>0</v>
      </c>
      <c r="AB19" s="957">
        <f t="shared" si="7"/>
        <v>0</v>
      </c>
      <c r="AC19" s="958">
        <f t="shared" si="7"/>
        <v>0</v>
      </c>
      <c r="AD19" s="954">
        <f t="shared" si="7"/>
        <v>0</v>
      </c>
      <c r="AE19" s="959">
        <f t="shared" si="7"/>
        <v>0</v>
      </c>
      <c r="AF19" s="958">
        <f t="shared" si="7"/>
        <v>0</v>
      </c>
      <c r="AG19" s="958">
        <f t="shared" si="7"/>
        <v>0</v>
      </c>
      <c r="AH19" s="958">
        <f t="shared" si="7"/>
        <v>0</v>
      </c>
      <c r="AI19" s="958">
        <f t="shared" si="7"/>
        <v>0</v>
      </c>
      <c r="AJ19" s="958">
        <f t="shared" si="7"/>
        <v>0</v>
      </c>
      <c r="AK19" s="950">
        <f t="shared" si="7"/>
        <v>0</v>
      </c>
      <c r="AL19" s="950">
        <f t="shared" si="7"/>
        <v>0</v>
      </c>
      <c r="AM19" s="950">
        <f t="shared" si="7"/>
        <v>0</v>
      </c>
      <c r="AN19" s="958">
        <f t="shared" si="7"/>
        <v>0</v>
      </c>
      <c r="AO19" s="958" t="str">
        <f>IF(ISNUMBER(DatosP!K19/DatosP!J19),DatosP!K19/DatosP!J19," - ")</f>
        <v xml:space="preserve"> - </v>
      </c>
      <c r="AP19" s="958" t="str">
        <f>IF(ISNUMBER(((DatosP!L19/DatosP!K19)*11)/factor_trimestre),((DatosP!L19/DatosP!K19)*11)/factor_trimestre," - ")</f>
        <v xml:space="preserve"> - </v>
      </c>
      <c r="AQ19" s="960" t="str">
        <f>IF(ISNUMBER(DatosP!M19/(IF(D_I="SI",DatosP!K19,DatosP!K19+DatosP!AE19))),DatosP!M19/(IF(D_I="SI",DatosP!K19,DatosP!K19+DatosP!AE19))," - ")</f>
        <v xml:space="preserve"> - </v>
      </c>
      <c r="AR19" s="961" t="str">
        <f>IF(ISNUMBER(DatosP!CI19/DatosP!CJ19),DatosP!CI19/DatosP!CJ19," - ")</f>
        <v xml:space="preserve"> - </v>
      </c>
      <c r="AS19" s="962" t="e">
        <f>IF(OR(ISNUMBER(FIND("01",Criterios!A8,1)),ISNUMBER(FIND("02",Criterios!A8,1)),ISNUMBER(FIND("03",Criterios!A8,1)),ISNUMBER(FIND("04",Criterios!A8,1))),(J19-Y19+K19)/(F19-K19),(I19-Y19+K19)/(F19-K19))</f>
        <v>#DIV/0!</v>
      </c>
      <c r="AT19" s="963" t="str">
        <f>IF(ISNUMBER((DatosP!P19-DatosP!Q19+P19)/(DatosP!R19-DatosP!P19+DatosP!Q19-P19)),(DatosP!P19-DatosP!Q19+P19)/(DatosP!R19-DatosP!P19+DatosP!Q19-P19)," - ")</f>
        <v xml:space="preserve"> - </v>
      </c>
      <c r="AU19" s="964">
        <f t="shared" ref="AU19:BA19" si="8">SUBTOTAL(9,AU9:AU18)</f>
        <v>0</v>
      </c>
      <c r="AV19" s="964">
        <f t="shared" si="8"/>
        <v>0</v>
      </c>
      <c r="AW19" s="965">
        <f t="shared" si="8"/>
        <v>0</v>
      </c>
      <c r="AX19" s="965">
        <f t="shared" si="8"/>
        <v>0</v>
      </c>
      <c r="AY19" s="965">
        <f t="shared" si="8"/>
        <v>0</v>
      </c>
      <c r="AZ19" s="965">
        <f t="shared" si="8"/>
        <v>0</v>
      </c>
      <c r="BA19" s="965">
        <f t="shared" si="8"/>
        <v>0</v>
      </c>
      <c r="BB19" s="966"/>
      <c r="BC19" s="967"/>
      <c r="BW19" s="918"/>
    </row>
    <row r="20" spans="1:78" ht="18.75" customHeight="1" thickTop="1" thickBot="1">
      <c r="A20" s="731"/>
      <c r="B20" s="731"/>
      <c r="C20" s="968" t="s">
        <v>264</v>
      </c>
      <c r="D20" s="969"/>
      <c r="E20" s="1174" t="str">
        <f ca="1">IF(ISNUMBER(SUMIF($B8:$B18,$B20,E8:E18)/INDIRECT("DatosP!AP"&amp;ROW()-1)),SUMIF($B8:$B18,$B20,E8:E18)/INDIRECT("DatosP!AP"&amp;ROW()-1),"-")</f>
        <v>-</v>
      </c>
      <c r="F20" s="960" t="str">
        <f ca="1">IF(ISNUMBER(SUMIF($B8:$B18,$B20,F8:F18)/INDIRECT("DatosP!AP"&amp;ROW()-1)),SUMIF($B8:$B18,$B20,F8:F18)/INDIRECT("DatosP!AP"&amp;ROW()-1),"-")</f>
        <v>-</v>
      </c>
      <c r="G20" s="970">
        <f>IF(ISNUMBER(AVERAGE(G8:G18)),AVERAGE(G8:G18),"-")</f>
        <v>0</v>
      </c>
      <c r="H20" s="971" t="str">
        <f t="shared" ref="H20:T20" ca="1" si="9">IF(ISNUMBER(SUMIF($B8:$B18,$B20,H8:H18)/INDIRECT("DatosP!AP"&amp;ROW()-1)),SUMIF($B8:$B18,$B20,H8:H18)/INDIRECT("DatosP!AP"&amp;ROW()-1),"-")</f>
        <v>-</v>
      </c>
      <c r="I20" s="960" t="str">
        <f t="shared" ca="1" si="9"/>
        <v>-</v>
      </c>
      <c r="J20" s="971" t="str">
        <f t="shared" ca="1" si="9"/>
        <v>-</v>
      </c>
      <c r="K20" s="971" t="str">
        <f t="shared" ca="1" si="9"/>
        <v>-</v>
      </c>
      <c r="L20" s="971" t="str">
        <f t="shared" ca="1" si="9"/>
        <v>-</v>
      </c>
      <c r="M20" s="971" t="str">
        <f t="shared" ca="1" si="9"/>
        <v>-</v>
      </c>
      <c r="N20" s="971" t="str">
        <f t="shared" ca="1" si="9"/>
        <v>-</v>
      </c>
      <c r="O20" s="971" t="str">
        <f t="shared" ca="1" si="9"/>
        <v>-</v>
      </c>
      <c r="P20" s="971" t="str">
        <f t="shared" ca="1" si="9"/>
        <v>-</v>
      </c>
      <c r="Q20" s="1133" t="str">
        <f t="shared" ca="1" si="9"/>
        <v>-</v>
      </c>
      <c r="R20" s="1133" t="str">
        <f t="shared" ca="1" si="9"/>
        <v>-</v>
      </c>
      <c r="S20" s="971" t="str">
        <f t="shared" ca="1" si="9"/>
        <v>-</v>
      </c>
      <c r="T20" s="1136" t="str">
        <f t="shared" ca="1" si="9"/>
        <v>-</v>
      </c>
      <c r="U20" s="814">
        <f ca="1">IF(ISNUMBER(SUMIF($B8:$B18,$B20,U8:U18)/INDIRECT("Datos!AP"&amp;ROW()-1)),SUMIF($B8:$B18,$B20,U8:U18)/INDIRECT("Datos!AP"&amp;ROW()-1),"-")</f>
        <v>0</v>
      </c>
      <c r="V20" s="1010">
        <f ca="1">IF(ISNUMBER(SUMIF($B8:$B18,$B20,V8:V18)/INDIRECT("Datos!AP"&amp;ROW()-1)),SUMIF($B8:$B18,$B20,V8:V18)/INDIRECT("Datos!AP"&amp;ROW()-1),"-")</f>
        <v>0</v>
      </c>
      <c r="W20" s="974" t="str">
        <f t="shared" ref="W20:AQ20" ca="1" si="10">IF(ISNUMBER(SUMIF($B8:$B18,$B20,W8:W18)/INDIRECT("DatosP!AP"&amp;ROW()-1)),SUMIF($B8:$B18,$B20,W8:W18)/INDIRECT("DatosP!AP"&amp;ROW()-1),"-")</f>
        <v>-</v>
      </c>
      <c r="X20" s="975" t="str">
        <f t="shared" ca="1" si="10"/>
        <v>-</v>
      </c>
      <c r="Y20" s="976" t="str">
        <f t="shared" ca="1" si="10"/>
        <v>-</v>
      </c>
      <c r="Z20" s="976" t="str">
        <f t="shared" ca="1" si="10"/>
        <v>-</v>
      </c>
      <c r="AA20" s="976" t="str">
        <f t="shared" ca="1" si="10"/>
        <v>-</v>
      </c>
      <c r="AB20" s="976" t="str">
        <f t="shared" ca="1" si="10"/>
        <v>-</v>
      </c>
      <c r="AC20" s="971" t="str">
        <f t="shared" ca="1" si="10"/>
        <v>-</v>
      </c>
      <c r="AD20" s="974" t="str">
        <f t="shared" ca="1" si="10"/>
        <v>-</v>
      </c>
      <c r="AE20" s="977" t="str">
        <f t="shared" ca="1" si="10"/>
        <v>-</v>
      </c>
      <c r="AF20" s="971" t="str">
        <f t="shared" ca="1" si="10"/>
        <v>-</v>
      </c>
      <c r="AG20" s="978" t="str">
        <f t="shared" ca="1" si="10"/>
        <v>-</v>
      </c>
      <c r="AH20" s="978" t="str">
        <f t="shared" ca="1" si="10"/>
        <v>-</v>
      </c>
      <c r="AI20" s="978" t="str">
        <f t="shared" ca="1" si="10"/>
        <v>-</v>
      </c>
      <c r="AJ20" s="978" t="str">
        <f t="shared" ca="1" si="10"/>
        <v>-</v>
      </c>
      <c r="AK20" s="960" t="str">
        <f t="shared" ca="1" si="10"/>
        <v>-</v>
      </c>
      <c r="AL20" s="960" t="str">
        <f t="shared" ca="1" si="10"/>
        <v>-</v>
      </c>
      <c r="AM20" s="960" t="str">
        <f t="shared" ca="1" si="10"/>
        <v>-</v>
      </c>
      <c r="AN20" s="971" t="str">
        <f t="shared" ca="1" si="10"/>
        <v>-</v>
      </c>
      <c r="AO20" s="971" t="str">
        <f t="shared" ca="1" si="10"/>
        <v>-</v>
      </c>
      <c r="AP20" s="971" t="str">
        <f t="shared" ca="1" si="10"/>
        <v>-</v>
      </c>
      <c r="AQ20" s="960" t="str">
        <f t="shared" ca="1" si="10"/>
        <v>-</v>
      </c>
      <c r="AR20" s="979" t="e">
        <f ca="1">INDIRECT("DatosP!CI"&amp;ROW()-1)/INDIRECT("DatosP!CJ"&amp;ROW()-1)</f>
        <v>#DIV/0!</v>
      </c>
      <c r="AS20" s="962" t="e">
        <f ca="1">IF(OR(ISNUMBER(FIND("01",Criterios!A8,1)),ISNUMBER(FIND("02",Criterios!A8,1)),ISNUMBER(FIND("03",Criterios!A8,1)),ISNUMBER(FIND("04",Criterios!A8,1))),(J20-Y20+K20)/(F20-K20),(I20-Y20+K20)/(F20-K20))</f>
        <v>#VALUE!</v>
      </c>
      <c r="AT20" s="980" t="str">
        <f ca="1">INDIRECT("AT"&amp;ROW()-1)</f>
        <v xml:space="preserve"> - </v>
      </c>
      <c r="AU20" s="981" t="str">
        <f t="shared" ref="AU20:BA20" ca="1" si="11">IF(ISNUMBER(SUMIF($B8:$B18,$B20,AU8:AU18)/INDIRECT("DatosP!AP"&amp;ROW()-1)),SUMIF($B8:$B18,$B20,AU8:AU18)/INDIRECT("DatosP!AP"&amp;ROW()-1),"-")</f>
        <v>-</v>
      </c>
      <c r="AV20" s="981" t="str">
        <f t="shared" ca="1" si="11"/>
        <v>-</v>
      </c>
      <c r="AW20" s="982" t="str">
        <f t="shared" ca="1" si="11"/>
        <v>-</v>
      </c>
      <c r="AX20" s="982" t="str">
        <f t="shared" ca="1" si="11"/>
        <v>-</v>
      </c>
      <c r="AY20" s="982" t="str">
        <f t="shared" ca="1" si="11"/>
        <v>-</v>
      </c>
      <c r="AZ20" s="982" t="str">
        <f t="shared" ca="1" si="11"/>
        <v>-</v>
      </c>
      <c r="BA20" s="982" t="str">
        <f t="shared" ca="1" si="11"/>
        <v>-</v>
      </c>
      <c r="BB20" s="982"/>
      <c r="BC20" s="983"/>
      <c r="BW20" s="926"/>
    </row>
    <row r="21" spans="1:78" ht="18.75" hidden="1" customHeight="1" thickTop="1" thickBot="1">
      <c r="A21" s="732"/>
      <c r="B21" s="732"/>
      <c r="C21" s="732" t="s">
        <v>265</v>
      </c>
      <c r="D21" s="733"/>
      <c r="E21" s="734">
        <f>IF(ISNUMBER(STDEV(E8:E18)),STDEV(E8:E18),"-")</f>
        <v>0</v>
      </c>
      <c r="F21" s="735">
        <f>IF(ISNUMBER(STDEV(F8:F18)),STDEV(F8:F18),"-")</f>
        <v>0</v>
      </c>
      <c r="G21" s="736">
        <f>IF(ISNUMBER(STDEV(G8:G18)),STDEV(G8:G18),"-")</f>
        <v>0</v>
      </c>
      <c r="H21" s="737"/>
      <c r="I21" s="735">
        <f>IF(ISNUMBER(STDEV(I8:I18)),STDEV(I8:I18),"-")</f>
        <v>0</v>
      </c>
      <c r="J21" s="738">
        <f>IF(ISNUMBER(STDEV(J8:J18)),STDEV(J8:J18),"-")</f>
        <v>0</v>
      </c>
      <c r="K21" s="737"/>
      <c r="L21" s="737"/>
      <c r="M21" s="737"/>
      <c r="N21" s="737"/>
      <c r="O21" s="737"/>
      <c r="P21" s="737"/>
      <c r="Q21" s="1134"/>
      <c r="R21" s="1134"/>
      <c r="S21" s="737"/>
      <c r="T21" s="1134"/>
      <c r="U21" s="300"/>
      <c r="V21" s="1011"/>
      <c r="W21" s="735">
        <f>IF(ISNUMBER(STDEV(W8:W18)),STDEV(W8:W18),"-")</f>
        <v>0</v>
      </c>
      <c r="X21" s="739" t="str">
        <f>IF(ISNUMBER(STDEV(X8:X18)),STDEV(X8:X18),"-")</f>
        <v>-</v>
      </c>
      <c r="Y21" s="737">
        <f>IF(ISNUMBER(STDEV(Y8:Y18)),STDEV(Y8:Y18),"-")</f>
        <v>0</v>
      </c>
      <c r="Z21" s="740"/>
      <c r="AA21" s="740"/>
      <c r="AB21" s="740"/>
      <c r="AC21" s="741">
        <f>IF(ISNUMBER(STDEV(AC8:AC18)),STDEV(AC8:AC18),"-")</f>
        <v>0</v>
      </c>
      <c r="AD21" s="742">
        <f>IF(ISNUMBER(STDEV(AD8:AD18)),STDEV(AD8:AD18),"-")</f>
        <v>0</v>
      </c>
      <c r="AE21" s="740">
        <f>IF(ISNUMBER(STDEV(AE8:AE18)),STDEV(AE8:AE18),"-")</f>
        <v>0</v>
      </c>
      <c r="AF21" s="743"/>
      <c r="AG21" s="743"/>
      <c r="AH21" s="743"/>
      <c r="AI21" s="743"/>
      <c r="AJ21" s="743"/>
      <c r="AK21" s="735">
        <f>IF(ISNUMBER(STDEV(AK8:AK18)),STDEV(AK8:AK18),"-")</f>
        <v>0</v>
      </c>
      <c r="AL21" s="735"/>
      <c r="AM21" s="735">
        <f>IF(ISNUMBER(STDEV(AM8:AM18)),STDEV(AM8:AM18),"-")</f>
        <v>0</v>
      </c>
      <c r="AN21" s="741">
        <f>IF(ISNUMBER(STDEV(AN8:AN18)),STDEV(AN8:AN18),"-")</f>
        <v>0</v>
      </c>
      <c r="AO21" s="777" t="str">
        <f>IF(ISNUMBER(STDEV(AO8:AO18)),STDEV(AO8:AO18),"-")</f>
        <v>-</v>
      </c>
      <c r="AP21" s="778" t="str">
        <f>IF(ISNUMBER(STDEV(AP8:AP18)),STDEV(AP8:AP18),"-")</f>
        <v>-</v>
      </c>
      <c r="AQ21" s="744">
        <f>IF(ISNUMBER(STDEV(AQ8:AQ18)),STDEV(AQ8:AQ18),"-")</f>
        <v>0.12347615503839596</v>
      </c>
      <c r="AR21" s="693" t="str">
        <f>IF(ISNUMBER(AS21/AT21),AS21/AT21," - ")</f>
        <v xml:space="preserve"> - </v>
      </c>
      <c r="AS21" s="745" t="str">
        <f>IF(ISNUMBER(STDEV(AS8:AS18)),STDEV(AS8:AS18),"-")</f>
        <v>-</v>
      </c>
      <c r="AT21" s="746"/>
      <c r="AU21" s="747"/>
      <c r="AV21" s="747"/>
      <c r="AW21" s="748">
        <f>IF(ISNUMBER(STDEV(AW8:AW18)),STDEV(AW8:AW18),"-")</f>
        <v>0</v>
      </c>
      <c r="AX21" s="748">
        <f>IF(ISNUMBER(STDEV(AX8:AX18)),STDEV(AX8:AX18),"-")</f>
        <v>0</v>
      </c>
      <c r="AY21" s="748"/>
      <c r="AZ21" s="748"/>
      <c r="BA21" s="748" t="str">
        <f>IF(ISNUMBER(STDEV(BA8:BA18)),STDEV(BA8:BA18),"-")</f>
        <v>-</v>
      </c>
      <c r="BB21" s="749">
        <f>IF(ISNUMBER(STDEV(BB8:BB18)),STDEV(BB8:BB18),"-")</f>
        <v>0</v>
      </c>
      <c r="BC21" s="750">
        <f>IF(ISNUMBER(STDEV(BC8:BC18)),STDEV(BC8:BC18),"-")</f>
        <v>0</v>
      </c>
      <c r="BW21" s="562">
        <f>IF(ISNUMBER(STDEV(BW8:BW18)),STDEV(BW8:BW18),"-")</f>
        <v>0</v>
      </c>
    </row>
    <row r="22" spans="1:78" ht="12" customHeight="1" thickTop="1">
      <c r="C22" s="71"/>
      <c r="D22" s="71"/>
      <c r="F22" s="751"/>
      <c r="G22" s="751"/>
      <c r="H22" s="751"/>
      <c r="I22" s="751"/>
      <c r="K22" s="751"/>
      <c r="L22" s="751"/>
      <c r="M22" s="752"/>
      <c r="N22" s="752"/>
      <c r="O22" s="751"/>
      <c r="P22" s="751"/>
      <c r="Q22" s="1135"/>
      <c r="R22" s="1135"/>
      <c r="S22" s="751"/>
      <c r="T22" s="1135"/>
      <c r="U22" s="95"/>
      <c r="V22" s="1012"/>
      <c r="W22" s="751"/>
      <c r="X22" s="753"/>
      <c r="Y22" s="751"/>
      <c r="Z22" s="751"/>
      <c r="AA22" s="751"/>
      <c r="AB22" s="751"/>
      <c r="AC22" s="751"/>
      <c r="AD22" s="751"/>
      <c r="AE22" s="751"/>
      <c r="AF22" s="751"/>
      <c r="AG22" s="751"/>
      <c r="AH22" s="751"/>
      <c r="AI22" s="751"/>
      <c r="AJ22" s="751"/>
      <c r="AK22" s="751"/>
      <c r="AL22" s="751"/>
      <c r="AM22" s="751"/>
      <c r="AN22" s="751"/>
      <c r="AO22" s="751"/>
      <c r="AP22" s="751"/>
      <c r="AQ22" s="751"/>
      <c r="AR22" s="753"/>
      <c r="AS22" s="751" t="s">
        <v>424</v>
      </c>
      <c r="AT22" s="754"/>
      <c r="AU22" s="755"/>
      <c r="AV22" s="755"/>
      <c r="AW22" s="751"/>
      <c r="AX22" s="751"/>
      <c r="AY22" s="751"/>
      <c r="AZ22" s="751"/>
      <c r="BA22" s="563"/>
      <c r="BB22" s="756"/>
      <c r="BC22" s="751"/>
      <c r="BW22" s="563"/>
    </row>
    <row r="23" spans="1:78" ht="14.25">
      <c r="C23" s="159"/>
      <c r="D23" s="517"/>
      <c r="E23" s="757"/>
      <c r="F23" s="758"/>
      <c r="G23" s="689"/>
      <c r="H23" s="759"/>
      <c r="I23" s="759"/>
      <c r="J23" s="760"/>
      <c r="K23" s="759"/>
      <c r="L23" s="759"/>
      <c r="M23" s="725"/>
      <c r="N23" s="725"/>
      <c r="O23" s="759"/>
      <c r="P23" s="759"/>
      <c r="Q23" s="1128"/>
      <c r="R23" s="1128"/>
      <c r="S23" s="759"/>
      <c r="T23" s="1128"/>
      <c r="U23" s="301"/>
      <c r="V23" s="1013"/>
      <c r="W23" s="725"/>
      <c r="X23" s="685"/>
      <c r="Y23" s="759"/>
      <c r="Z23" s="761"/>
      <c r="AA23" s="671"/>
      <c r="AB23" s="761"/>
      <c r="AC23" s="759"/>
      <c r="AD23" s="759"/>
      <c r="AE23" s="759"/>
      <c r="AF23" s="759"/>
      <c r="AG23" s="759"/>
      <c r="AH23" s="759"/>
      <c r="AI23" s="759"/>
      <c r="AJ23" s="759"/>
      <c r="AK23" s="759"/>
      <c r="AL23" s="759"/>
      <c r="AM23" s="759"/>
      <c r="AN23" s="759"/>
      <c r="AO23" s="759"/>
      <c r="AP23" s="759"/>
      <c r="AQ23" s="759"/>
      <c r="AR23" s="685"/>
      <c r="AS23" s="685"/>
      <c r="AT23" s="699"/>
      <c r="AU23" s="762"/>
      <c r="AV23" s="762"/>
      <c r="AW23" s="759"/>
      <c r="AX23" s="759"/>
      <c r="AY23" s="759"/>
      <c r="AZ23" s="759"/>
      <c r="BA23" s="568"/>
      <c r="BB23" s="763"/>
      <c r="BC23" s="763"/>
      <c r="BW23" s="570"/>
    </row>
    <row r="24" spans="1:78" ht="14.25">
      <c r="C24" s="7"/>
      <c r="D24" s="520"/>
      <c r="E24" s="757"/>
      <c r="F24" s="758"/>
      <c r="G24" s="689"/>
      <c r="H24" s="759"/>
      <c r="I24" s="759"/>
      <c r="J24" s="760"/>
      <c r="K24" s="759"/>
      <c r="L24" s="759"/>
      <c r="M24" s="725"/>
      <c r="N24" s="725"/>
      <c r="O24" s="759"/>
      <c r="P24" s="759"/>
      <c r="Q24" s="1128"/>
      <c r="R24" s="1128"/>
      <c r="S24" s="759"/>
      <c r="T24" s="1128"/>
      <c r="U24" s="301"/>
      <c r="V24" s="1013"/>
      <c r="W24" s="725"/>
      <c r="X24" s="685"/>
      <c r="Y24" s="759"/>
      <c r="Z24" s="761"/>
      <c r="AA24" s="671"/>
      <c r="AB24" s="761"/>
      <c r="AC24" s="759"/>
      <c r="AD24" s="759"/>
      <c r="AE24" s="759"/>
      <c r="AF24" s="759"/>
      <c r="AG24" s="759"/>
      <c r="AH24" s="759"/>
      <c r="AI24" s="759"/>
      <c r="AJ24" s="759"/>
      <c r="AK24" s="759"/>
      <c r="AL24" s="759"/>
      <c r="AM24" s="759"/>
      <c r="AN24" s="759"/>
      <c r="AO24" s="759"/>
      <c r="AP24" s="759"/>
      <c r="AQ24" s="759"/>
      <c r="AR24" s="685"/>
      <c r="AS24" s="685"/>
      <c r="AT24" s="699"/>
      <c r="AU24" s="762"/>
      <c r="AV24" s="762"/>
      <c r="AW24" s="759"/>
      <c r="AX24" s="759"/>
      <c r="AY24" s="759"/>
      <c r="AZ24" s="759"/>
      <c r="BA24" s="568"/>
      <c r="BB24" s="763"/>
      <c r="BC24" s="763"/>
      <c r="BW24" s="570"/>
    </row>
    <row r="25" spans="1:78" ht="12.75" hidden="1" customHeight="1">
      <c r="C25" s="521" t="s">
        <v>262</v>
      </c>
      <c r="D25" s="520"/>
      <c r="E25" s="726">
        <f t="shared" ref="E25:AV25" si="12">E23+2*E24</f>
        <v>0</v>
      </c>
      <c r="F25" s="726">
        <f t="shared" si="12"/>
        <v>0</v>
      </c>
      <c r="G25" s="723">
        <f t="shared" si="12"/>
        <v>0</v>
      </c>
      <c r="H25" s="764">
        <f>H23+2*H24</f>
        <v>0</v>
      </c>
      <c r="I25" s="764">
        <f t="shared" si="12"/>
        <v>0</v>
      </c>
      <c r="J25" s="765">
        <f>J23+2*J24</f>
        <v>0</v>
      </c>
      <c r="K25" s="764">
        <f t="shared" si="12"/>
        <v>0</v>
      </c>
      <c r="L25" s="764">
        <f t="shared" si="12"/>
        <v>0</v>
      </c>
      <c r="M25" s="764">
        <f t="shared" si="12"/>
        <v>0</v>
      </c>
      <c r="N25" s="764">
        <f t="shared" si="12"/>
        <v>0</v>
      </c>
      <c r="O25" s="764">
        <f t="shared" si="12"/>
        <v>0</v>
      </c>
      <c r="P25" s="764">
        <f t="shared" si="12"/>
        <v>0</v>
      </c>
      <c r="Q25" s="766">
        <f t="shared" si="12"/>
        <v>0</v>
      </c>
      <c r="R25" s="766">
        <f t="shared" si="12"/>
        <v>0</v>
      </c>
      <c r="S25" s="764">
        <f t="shared" si="12"/>
        <v>0</v>
      </c>
      <c r="T25" s="767">
        <f t="shared" si="12"/>
        <v>0</v>
      </c>
      <c r="U25" s="787">
        <f t="shared" si="12"/>
        <v>0</v>
      </c>
      <c r="V25" s="767">
        <f t="shared" si="12"/>
        <v>0</v>
      </c>
      <c r="W25" s="723">
        <f t="shared" si="12"/>
        <v>0</v>
      </c>
      <c r="X25" s="768">
        <f t="shared" si="12"/>
        <v>0</v>
      </c>
      <c r="Y25" s="723">
        <f t="shared" si="12"/>
        <v>0</v>
      </c>
      <c r="Z25" s="723">
        <f t="shared" si="12"/>
        <v>0</v>
      </c>
      <c r="AA25" s="723">
        <f t="shared" si="12"/>
        <v>0</v>
      </c>
      <c r="AB25" s="723">
        <f t="shared" si="12"/>
        <v>0</v>
      </c>
      <c r="AC25" s="723">
        <f t="shared" si="12"/>
        <v>0</v>
      </c>
      <c r="AD25" s="723">
        <f t="shared" si="12"/>
        <v>0</v>
      </c>
      <c r="AE25" s="723">
        <f t="shared" si="12"/>
        <v>0</v>
      </c>
      <c r="AF25" s="723">
        <f t="shared" si="12"/>
        <v>0</v>
      </c>
      <c r="AG25" s="723">
        <f t="shared" si="12"/>
        <v>0</v>
      </c>
      <c r="AH25" s="723">
        <f t="shared" si="12"/>
        <v>0</v>
      </c>
      <c r="AI25" s="723">
        <f t="shared" si="12"/>
        <v>0</v>
      </c>
      <c r="AJ25" s="723">
        <f t="shared" si="12"/>
        <v>0</v>
      </c>
      <c r="AK25" s="723">
        <f t="shared" si="12"/>
        <v>0</v>
      </c>
      <c r="AL25" s="723">
        <f t="shared" si="12"/>
        <v>0</v>
      </c>
      <c r="AM25" s="723">
        <f t="shared" si="12"/>
        <v>0</v>
      </c>
      <c r="AN25" s="723">
        <f t="shared" si="12"/>
        <v>0</v>
      </c>
      <c r="AO25" s="769">
        <f t="shared" si="12"/>
        <v>0</v>
      </c>
      <c r="AP25" s="769">
        <f t="shared" si="12"/>
        <v>0</v>
      </c>
      <c r="AQ25" s="769">
        <f>AQ23+2*AQ24</f>
        <v>0</v>
      </c>
      <c r="AR25" s="768">
        <f t="shared" si="12"/>
        <v>0</v>
      </c>
      <c r="AS25" s="770">
        <f t="shared" si="12"/>
        <v>0</v>
      </c>
      <c r="AT25" s="770">
        <f t="shared" si="12"/>
        <v>0</v>
      </c>
      <c r="AU25" s="723">
        <f t="shared" si="12"/>
        <v>0</v>
      </c>
      <c r="AV25" s="723">
        <f t="shared" si="12"/>
        <v>0</v>
      </c>
      <c r="AW25" s="723">
        <f>AW23+2*AW24</f>
        <v>0</v>
      </c>
      <c r="AX25" s="723">
        <f>AX23+2*AX24</f>
        <v>0</v>
      </c>
      <c r="AY25" s="723">
        <f>AY23+2*AY24</f>
        <v>0</v>
      </c>
      <c r="AZ25" s="723">
        <f>AZ23+2*AZ24</f>
        <v>0</v>
      </c>
      <c r="BA25" s="723">
        <f>BA23+2*BA24</f>
        <v>0</v>
      </c>
      <c r="BB25" s="723">
        <f>(BB23-ultimoDiaTrim)+2*BB24</f>
        <v>0</v>
      </c>
      <c r="BC25" s="771"/>
      <c r="BW25" s="525"/>
    </row>
    <row r="26" spans="1:78" ht="12.75" hidden="1" customHeight="1">
      <c r="C26" s="521" t="s">
        <v>263</v>
      </c>
      <c r="D26" s="520"/>
      <c r="E26" s="726">
        <f t="shared" ref="E26:AV26" si="13">MIN(0,E23-2*E24)</f>
        <v>0</v>
      </c>
      <c r="F26" s="726">
        <f t="shared" si="13"/>
        <v>0</v>
      </c>
      <c r="G26" s="723">
        <f t="shared" si="13"/>
        <v>0</v>
      </c>
      <c r="H26" s="723">
        <f>MIN(0,H23-2*H24)</f>
        <v>0</v>
      </c>
      <c r="I26" s="723">
        <f t="shared" si="13"/>
        <v>0</v>
      </c>
      <c r="J26" s="772">
        <f>MIN(0,J23-2*J24)</f>
        <v>0</v>
      </c>
      <c r="K26" s="723">
        <f t="shared" si="13"/>
        <v>0</v>
      </c>
      <c r="L26" s="723">
        <f t="shared" si="13"/>
        <v>0</v>
      </c>
      <c r="M26" s="723">
        <f t="shared" si="13"/>
        <v>0</v>
      </c>
      <c r="N26" s="723">
        <f t="shared" si="13"/>
        <v>0</v>
      </c>
      <c r="O26" s="723">
        <f t="shared" si="13"/>
        <v>0</v>
      </c>
      <c r="P26" s="723">
        <f t="shared" si="13"/>
        <v>0</v>
      </c>
      <c r="Q26" s="768">
        <f t="shared" si="13"/>
        <v>0</v>
      </c>
      <c r="R26" s="768">
        <f t="shared" si="13"/>
        <v>0</v>
      </c>
      <c r="S26" s="723">
        <f t="shared" si="13"/>
        <v>0</v>
      </c>
      <c r="T26" s="770">
        <f t="shared" si="13"/>
        <v>0</v>
      </c>
      <c r="U26" s="788">
        <f t="shared" si="13"/>
        <v>0</v>
      </c>
      <c r="V26" s="770">
        <f t="shared" si="13"/>
        <v>0</v>
      </c>
      <c r="W26" s="723">
        <f t="shared" si="13"/>
        <v>0</v>
      </c>
      <c r="X26" s="768">
        <f t="shared" si="13"/>
        <v>0</v>
      </c>
      <c r="Y26" s="723">
        <f t="shared" si="13"/>
        <v>0</v>
      </c>
      <c r="Z26" s="723">
        <f t="shared" si="13"/>
        <v>0</v>
      </c>
      <c r="AA26" s="723">
        <f t="shared" si="13"/>
        <v>0</v>
      </c>
      <c r="AB26" s="723">
        <f t="shared" si="13"/>
        <v>0</v>
      </c>
      <c r="AC26" s="723">
        <f t="shared" si="13"/>
        <v>0</v>
      </c>
      <c r="AD26" s="723">
        <f t="shared" si="13"/>
        <v>0</v>
      </c>
      <c r="AE26" s="723">
        <f t="shared" si="13"/>
        <v>0</v>
      </c>
      <c r="AF26" s="723">
        <f t="shared" si="13"/>
        <v>0</v>
      </c>
      <c r="AG26" s="723">
        <f t="shared" si="13"/>
        <v>0</v>
      </c>
      <c r="AH26" s="723">
        <f t="shared" si="13"/>
        <v>0</v>
      </c>
      <c r="AI26" s="723">
        <f t="shared" si="13"/>
        <v>0</v>
      </c>
      <c r="AJ26" s="723">
        <f t="shared" si="13"/>
        <v>0</v>
      </c>
      <c r="AK26" s="723">
        <f t="shared" si="13"/>
        <v>0</v>
      </c>
      <c r="AL26" s="723">
        <f t="shared" si="13"/>
        <v>0</v>
      </c>
      <c r="AM26" s="723">
        <f t="shared" si="13"/>
        <v>0</v>
      </c>
      <c r="AN26" s="723">
        <f t="shared" si="13"/>
        <v>0</v>
      </c>
      <c r="AO26" s="769">
        <f t="shared" si="13"/>
        <v>0</v>
      </c>
      <c r="AP26" s="769">
        <f t="shared" si="13"/>
        <v>0</v>
      </c>
      <c r="AQ26" s="769">
        <f>MIN(0,AQ23-2*AQ24)</f>
        <v>0</v>
      </c>
      <c r="AR26" s="768">
        <f t="shared" si="13"/>
        <v>0</v>
      </c>
      <c r="AS26" s="770">
        <f t="shared" si="13"/>
        <v>0</v>
      </c>
      <c r="AT26" s="770">
        <f t="shared" si="13"/>
        <v>0</v>
      </c>
      <c r="AU26" s="723">
        <f t="shared" si="13"/>
        <v>0</v>
      </c>
      <c r="AV26" s="723">
        <f t="shared" si="13"/>
        <v>0</v>
      </c>
      <c r="AW26" s="723">
        <f>MIN(0,AW23-2*AW24)</f>
        <v>0</v>
      </c>
      <c r="AX26" s="723">
        <f>MIN(0,AX23-2*AX24)</f>
        <v>0</v>
      </c>
      <c r="AY26" s="723">
        <f>MIN(0,AY23-2*AY24)</f>
        <v>0</v>
      </c>
      <c r="AZ26" s="723">
        <f>MIN(0,AZ23-2*AZ24)</f>
        <v>0</v>
      </c>
      <c r="BA26" s="723">
        <f>MIN(0,BA23-2*BA24)</f>
        <v>0</v>
      </c>
      <c r="BB26" s="723">
        <f>MIN(0,(BB23-ultimoDiaTrim)-2*BB24)</f>
        <v>0</v>
      </c>
      <c r="BC26" s="771"/>
      <c r="BW26" s="525"/>
    </row>
    <row r="27" spans="1:78">
      <c r="C27" s="71"/>
      <c r="D27" s="71"/>
    </row>
    <row r="30" spans="1:78">
      <c r="C30" s="644" t="str">
        <f>Criterios!A4</f>
        <v>Fecha Informe: 17 mar. 2026</v>
      </c>
    </row>
    <row r="32" spans="1:78">
      <c r="C32" s="773"/>
      <c r="D32" s="773"/>
    </row>
  </sheetData>
  <sheetProtection algorithmName="SHA-512" hashValue="ewwgp+KjqontvuFOvmMsMUfe5g0tvkLHqehGqFqUkhOar9eXS10O0vSAmDdUawn3XQ136vV5uTLJaayHYiLumA==" saltValue="ZJnXiT1zXckMoo3HiW5mDg==" spinCount="100000" sheet="1" objects="1" scenarios="1"/>
  <mergeCells count="55">
    <mergeCell ref="G5:G7"/>
    <mergeCell ref="A5:A7"/>
    <mergeCell ref="C5:C6"/>
    <mergeCell ref="D5:D7"/>
    <mergeCell ref="E5:E7"/>
    <mergeCell ref="F5:F7"/>
    <mergeCell ref="S5:S7"/>
    <mergeCell ref="H5:H7"/>
    <mergeCell ref="I5:I7"/>
    <mergeCell ref="J5:J7"/>
    <mergeCell ref="K5:K7"/>
    <mergeCell ref="L5:L7"/>
    <mergeCell ref="M5:M7"/>
    <mergeCell ref="N5:N7"/>
    <mergeCell ref="O5:O7"/>
    <mergeCell ref="P5:P7"/>
    <mergeCell ref="Q5:Q7"/>
    <mergeCell ref="R5:R7"/>
    <mergeCell ref="AE5:AE7"/>
    <mergeCell ref="T5:T7"/>
    <mergeCell ref="U5:U7"/>
    <mergeCell ref="V5:V7"/>
    <mergeCell ref="W5:W7"/>
    <mergeCell ref="X5:X7"/>
    <mergeCell ref="Y5:Y7"/>
    <mergeCell ref="Z5:Z7"/>
    <mergeCell ref="AA5:AA7"/>
    <mergeCell ref="AB5:AB7"/>
    <mergeCell ref="AC5:AC7"/>
    <mergeCell ref="AD5:AD7"/>
    <mergeCell ref="AQ5:AQ7"/>
    <mergeCell ref="AF5:AF7"/>
    <mergeCell ref="AG5:AG7"/>
    <mergeCell ref="AH5:AH7"/>
    <mergeCell ref="AI5:AI7"/>
    <mergeCell ref="AJ5:AJ7"/>
    <mergeCell ref="AK5:AK7"/>
    <mergeCell ref="AL5:AL7"/>
    <mergeCell ref="AM5:AM7"/>
    <mergeCell ref="AN5:AN7"/>
    <mergeCell ref="AO5:AO7"/>
    <mergeCell ref="AP5:AP7"/>
    <mergeCell ref="BW5:BW7"/>
    <mergeCell ref="AZ5:AZ7"/>
    <mergeCell ref="BB5:BB7"/>
    <mergeCell ref="BC5:BC7"/>
    <mergeCell ref="AR5:AR7"/>
    <mergeCell ref="AS5:AS7"/>
    <mergeCell ref="AT5:AT7"/>
    <mergeCell ref="AU5:AU7"/>
    <mergeCell ref="AV5:AV7"/>
    <mergeCell ref="AX5:AX7"/>
    <mergeCell ref="AW5:AW7"/>
    <mergeCell ref="AY5:AY7"/>
    <mergeCell ref="BA5:BA7"/>
  </mergeCells>
  <conditionalFormatting sqref="E15:E17 E9:E12">
    <cfRule type="cellIs" dxfId="127" priority="201" stopIfTrue="1" operator="notBetween">
      <formula>$E$25</formula>
      <formula>$E$26</formula>
    </cfRule>
  </conditionalFormatting>
  <conditionalFormatting sqref="F9:F12 F15:F17">
    <cfRule type="expression" dxfId="126" priority="280" stopIfTrue="1">
      <formula>IF(F9&lt;&gt;G9,TRUE,FALSE)</formula>
    </cfRule>
    <cfRule type="cellIs" dxfId="125" priority="282" stopIfTrue="1" operator="notBetween">
      <formula>$F$25</formula>
      <formula>$F$26</formula>
    </cfRule>
  </conditionalFormatting>
  <conditionalFormatting sqref="G9">
    <cfRule type="expression" dxfId="124" priority="288" stopIfTrue="1">
      <formula>IF(G9&lt;&gt;I9,TRUE,FALSE)</formula>
    </cfRule>
  </conditionalFormatting>
  <conditionalFormatting sqref="G10 G15:G17">
    <cfRule type="cellIs" dxfId="123" priority="281" stopIfTrue="1" operator="notBetween">
      <formula>$G$25</formula>
      <formula>$G$26</formula>
    </cfRule>
  </conditionalFormatting>
  <conditionalFormatting sqref="H15:H17 H9:H12">
    <cfRule type="cellIs" dxfId="122" priority="264" stopIfTrue="1" operator="notBetween">
      <formula>$H$25</formula>
      <formula>$H$26</formula>
    </cfRule>
  </conditionalFormatting>
  <conditionalFormatting sqref="I15:I17 I9:I12">
    <cfRule type="cellIs" dxfId="121" priority="287" stopIfTrue="1" operator="notBetween">
      <formula>$I$25</formula>
      <formula>$I$26</formula>
    </cfRule>
  </conditionalFormatting>
  <conditionalFormatting sqref="I11:I12">
    <cfRule type="cellIs" dxfId="120" priority="2412" stopIfTrue="1" operator="greaterThan">
      <formula>#REF!</formula>
    </cfRule>
    <cfRule type="cellIs" dxfId="119" priority="2413" stopIfTrue="1" operator="lessThan">
      <formula>#REF!</formula>
    </cfRule>
  </conditionalFormatting>
  <conditionalFormatting sqref="J15:J17 J9:J12">
    <cfRule type="cellIs" dxfId="118" priority="2358" stopIfTrue="1" operator="notBetween">
      <formula>$J$25</formula>
      <formula>$J$26</formula>
    </cfRule>
  </conditionalFormatting>
  <conditionalFormatting sqref="K15:K17 K9:K12">
    <cfRule type="cellIs" dxfId="117" priority="267" stopIfTrue="1" operator="notBetween">
      <formula>$K$25</formula>
      <formula>$K$26</formula>
    </cfRule>
  </conditionalFormatting>
  <conditionalFormatting sqref="M15:M17 M9:M12">
    <cfRule type="cellIs" dxfId="116" priority="266" stopIfTrue="1" operator="notBetween">
      <formula>$M$25</formula>
      <formula>$M$26</formula>
    </cfRule>
  </conditionalFormatting>
  <conditionalFormatting sqref="O15:O17 O9:O12">
    <cfRule type="cellIs" dxfId="115" priority="224" stopIfTrue="1" operator="notBetween">
      <formula>$O$25</formula>
      <formula>$O$26</formula>
    </cfRule>
  </conditionalFormatting>
  <conditionalFormatting sqref="P15:P17 P9:P12">
    <cfRule type="cellIs" dxfId="114" priority="265" stopIfTrue="1" operator="notBetween">
      <formula>$P$25</formula>
      <formula>$P$26</formula>
    </cfRule>
  </conditionalFormatting>
  <conditionalFormatting sqref="R15:R17 R9:R12">
    <cfRule type="cellIs" dxfId="113" priority="263" stopIfTrue="1" operator="notBetween">
      <formula>$R$25</formula>
      <formula>$R$26</formula>
    </cfRule>
  </conditionalFormatting>
  <conditionalFormatting sqref="S15:S17 S9:S12">
    <cfRule type="cellIs" dxfId="112" priority="262" stopIfTrue="1" operator="notBetween">
      <formula>$S$25</formula>
      <formula>$S$26</formula>
    </cfRule>
  </conditionalFormatting>
  <conditionalFormatting sqref="T15:T17 T9:T12">
    <cfRule type="cellIs" dxfId="111" priority="261" stopIfTrue="1" operator="notBetween">
      <formula>$T$25</formula>
      <formula>$T$26</formula>
    </cfRule>
  </conditionalFormatting>
  <conditionalFormatting sqref="U9">
    <cfRule type="cellIs" dxfId="110" priority="106" stopIfTrue="1" operator="greaterThan">
      <formula>$BW$9</formula>
    </cfRule>
    <cfRule type="cellIs" dxfId="109" priority="107" stopIfTrue="1" operator="lessThan">
      <formula>$BW$9</formula>
    </cfRule>
  </conditionalFormatting>
  <conditionalFormatting sqref="U10">
    <cfRule type="cellIs" dxfId="108" priority="102" stopIfTrue="1" operator="greaterThan">
      <formula>$BW$10</formula>
    </cfRule>
    <cfRule type="cellIs" dxfId="107" priority="103" stopIfTrue="1" operator="lessThan">
      <formula>$BW$10</formula>
    </cfRule>
  </conditionalFormatting>
  <conditionalFormatting sqref="U11">
    <cfRule type="cellIs" dxfId="106" priority="98" stopIfTrue="1" operator="greaterThan">
      <formula>$BW$11</formula>
    </cfRule>
    <cfRule type="cellIs" dxfId="105" priority="99" stopIfTrue="1" operator="lessThan">
      <formula>$BW$11</formula>
    </cfRule>
  </conditionalFormatting>
  <conditionalFormatting sqref="U12">
    <cfRule type="cellIs" dxfId="104" priority="96" stopIfTrue="1" operator="greaterThan">
      <formula>$BW$12</formula>
    </cfRule>
    <cfRule type="cellIs" dxfId="103" priority="97" stopIfTrue="1" operator="lessThan">
      <formula>$BW$12</formula>
    </cfRule>
  </conditionalFormatting>
  <conditionalFormatting sqref="U15">
    <cfRule type="cellIs" dxfId="102" priority="82" stopIfTrue="1" operator="greaterThan">
      <formula>$BW$15</formula>
    </cfRule>
    <cfRule type="cellIs" dxfId="101" priority="83" stopIfTrue="1" operator="lessThan">
      <formula>$BW$15</formula>
    </cfRule>
  </conditionalFormatting>
  <conditionalFormatting sqref="U16">
    <cfRule type="cellIs" dxfId="100" priority="80" stopIfTrue="1" operator="greaterThan">
      <formula>$BW$16</formula>
    </cfRule>
    <cfRule type="cellIs" dxfId="99" priority="81" stopIfTrue="1" operator="lessThan">
      <formula>$BW$16</formula>
    </cfRule>
  </conditionalFormatting>
  <conditionalFormatting sqref="U17">
    <cfRule type="cellIs" dxfId="98" priority="78" stopIfTrue="1" operator="greaterThan">
      <formula>$BW$17</formula>
    </cfRule>
    <cfRule type="cellIs" dxfId="97" priority="79" stopIfTrue="1" operator="lessThan">
      <formula>$BW$17</formula>
    </cfRule>
  </conditionalFormatting>
  <conditionalFormatting sqref="W9:W12">
    <cfRule type="cellIs" dxfId="96" priority="258" stopIfTrue="1" operator="notBetween">
      <formula>$W$25</formula>
      <formula>$W$26</formula>
    </cfRule>
  </conditionalFormatting>
  <conditionalFormatting sqref="W15:W17">
    <cfRule type="cellIs" dxfId="95" priority="259" stopIfTrue="1" operator="notBetween">
      <formula>$W$25</formula>
      <formula>$W$26</formula>
    </cfRule>
  </conditionalFormatting>
  <conditionalFormatting sqref="X15:X17 X9:X12">
    <cfRule type="cellIs" dxfId="94" priority="257" stopIfTrue="1" operator="notBetween">
      <formula>$X$25</formula>
      <formula>$X$26</formula>
    </cfRule>
  </conditionalFormatting>
  <conditionalFormatting sqref="Y15:Y17 Y9:Y12">
    <cfRule type="cellIs" dxfId="93" priority="256" stopIfTrue="1" operator="notBetween">
      <formula>$Y$25</formula>
      <formula>$Y$26</formula>
    </cfRule>
  </conditionalFormatting>
  <conditionalFormatting sqref="Z15:Z17 Z9:Z12">
    <cfRule type="cellIs" dxfId="92" priority="203" stopIfTrue="1" operator="notBetween">
      <formula>$Z$25</formula>
      <formula>$Z$26</formula>
    </cfRule>
  </conditionalFormatting>
  <conditionalFormatting sqref="AA15:AA17 AA9:AA12">
    <cfRule type="cellIs" dxfId="91" priority="255" stopIfTrue="1" operator="notBetween">
      <formula>$AA$25</formula>
      <formula>$AA$26</formula>
    </cfRule>
  </conditionalFormatting>
  <conditionalFormatting sqref="AB9:AB12">
    <cfRule type="cellIs" dxfId="90" priority="252" stopIfTrue="1" operator="notBetween">
      <formula>$AB$25</formula>
      <formula>$AB$26</formula>
    </cfRule>
  </conditionalFormatting>
  <conditionalFormatting sqref="AB15:AB17">
    <cfRule type="cellIs" dxfId="89" priority="254" stopIfTrue="1" operator="notBetween">
      <formula>$AB$25</formula>
      <formula>$AB$26</formula>
    </cfRule>
  </conditionalFormatting>
  <conditionalFormatting sqref="AC15:AC17 AC9:AC12">
    <cfRule type="cellIs" dxfId="88" priority="248" stopIfTrue="1" operator="notBetween">
      <formula>$AC$25</formula>
      <formula>$AC$26</formula>
    </cfRule>
  </conditionalFormatting>
  <conditionalFormatting sqref="AD15:AD17 AD9:AD12">
    <cfRule type="cellIs" dxfId="87" priority="247" stopIfTrue="1" operator="notBetween">
      <formula>$AD$25</formula>
      <formula>$AD$26</formula>
    </cfRule>
  </conditionalFormatting>
  <conditionalFormatting sqref="AE15:AE17 AE9:AE12">
    <cfRule type="cellIs" dxfId="86" priority="246" stopIfTrue="1" operator="notBetween">
      <formula>$AE$25</formula>
      <formula>$AE$26</formula>
    </cfRule>
  </conditionalFormatting>
  <conditionalFormatting sqref="AF15:AF17 AF9:AF12">
    <cfRule type="cellIs" dxfId="85" priority="245" stopIfTrue="1" operator="notBetween">
      <formula>$AF$25</formula>
      <formula>$AF$26</formula>
    </cfRule>
  </conditionalFormatting>
  <conditionalFormatting sqref="AG15:AG17 AG9:AG12">
    <cfRule type="cellIs" dxfId="84" priority="244" stopIfTrue="1" operator="notBetween">
      <formula>$AG$25</formula>
      <formula>$AG$26</formula>
    </cfRule>
  </conditionalFormatting>
  <conditionalFormatting sqref="AH15:AH17 AH9:AH12">
    <cfRule type="cellIs" dxfId="83" priority="243" stopIfTrue="1" operator="notBetween">
      <formula>$AH$25</formula>
      <formula>$AH$26</formula>
    </cfRule>
  </conditionalFormatting>
  <conditionalFormatting sqref="AI15:AI17 AI9:AI12">
    <cfRule type="cellIs" dxfId="82" priority="242" stopIfTrue="1" operator="notBetween">
      <formula>$AI$25</formula>
      <formula>$AI$26</formula>
    </cfRule>
  </conditionalFormatting>
  <conditionalFormatting sqref="AJ15:AJ17 AJ9:AJ12">
    <cfRule type="cellIs" dxfId="81" priority="241" stopIfTrue="1" operator="notBetween">
      <formula>$AJ$25</formula>
      <formula>$AJ$26</formula>
    </cfRule>
  </conditionalFormatting>
  <conditionalFormatting sqref="AK9:AK12">
    <cfRule type="cellIs" dxfId="80" priority="238" stopIfTrue="1" operator="notBetween">
      <formula>$AK$25</formula>
      <formula>$AK$26</formula>
    </cfRule>
  </conditionalFormatting>
  <conditionalFormatting sqref="AK15:AK17">
    <cfRule type="cellIs" dxfId="79" priority="240" stopIfTrue="1" operator="notBetween">
      <formula>$AK$25</formula>
      <formula>$AK$26</formula>
    </cfRule>
  </conditionalFormatting>
  <conditionalFormatting sqref="AL15:AL17 AL9:AL12">
    <cfRule type="cellIs" dxfId="78" priority="237" stopIfTrue="1" operator="notBetween">
      <formula>$AL$25</formula>
      <formula>$AL$26</formula>
    </cfRule>
  </conditionalFormatting>
  <conditionalFormatting sqref="AM15:AM17 AM9:AM12">
    <cfRule type="cellIs" dxfId="77" priority="236" stopIfTrue="1" operator="notBetween">
      <formula>$AM$25</formula>
      <formula>$AM$26</formula>
    </cfRule>
  </conditionalFormatting>
  <conditionalFormatting sqref="AN15:AN17 AN9:AN12">
    <cfRule type="cellIs" dxfId="76" priority="235" stopIfTrue="1" operator="notBetween">
      <formula>$AN$25</formula>
      <formula>$AN$26</formula>
    </cfRule>
  </conditionalFormatting>
  <conditionalFormatting sqref="AO15:AO17 AO9:AO12">
    <cfRule type="cellIs" dxfId="75" priority="202" stopIfTrue="1" operator="notBetween">
      <formula>$AO$25</formula>
      <formula>$AO$26</formula>
    </cfRule>
  </conditionalFormatting>
  <conditionalFormatting sqref="AP15:AP17 AP9:AP12">
    <cfRule type="cellIs" dxfId="74" priority="234" stopIfTrue="1" operator="notBetween">
      <formula>$AP$25</formula>
      <formula>$AP$26</formula>
    </cfRule>
  </conditionalFormatting>
  <conditionalFormatting sqref="AQ15:AQ17 AQ9:AQ12">
    <cfRule type="cellIs" dxfId="73" priority="233" stopIfTrue="1" operator="notBetween">
      <formula>$AQ$25</formula>
      <formula>$AQ$26</formula>
    </cfRule>
  </conditionalFormatting>
  <conditionalFormatting sqref="AR15:AR17 AR9:AR12">
    <cfRule type="cellIs" dxfId="72" priority="232" stopIfTrue="1" operator="notBetween">
      <formula>$AR$25</formula>
      <formula>$AR$26</formula>
    </cfRule>
  </conditionalFormatting>
  <conditionalFormatting sqref="AS9:AS12">
    <cfRule type="cellIs" dxfId="71" priority="230" stopIfTrue="1" operator="notBetween">
      <formula>$AS$25</formula>
      <formula>$AS$26</formula>
    </cfRule>
  </conditionalFormatting>
  <conditionalFormatting sqref="AS15:AS17">
    <cfRule type="cellIs" dxfId="70" priority="231" stopIfTrue="1" operator="notBetween">
      <formula>$AS$25</formula>
      <formula>$AS$26</formula>
    </cfRule>
  </conditionalFormatting>
  <conditionalFormatting sqref="AT15:AT17 AT9:AT12">
    <cfRule type="cellIs" dxfId="69" priority="229" stopIfTrue="1" operator="notBetween">
      <formula>$AT$25</formula>
      <formula>$AT$26</formula>
    </cfRule>
  </conditionalFormatting>
  <conditionalFormatting sqref="AU15:AU17 AU9:AU12">
    <cfRule type="cellIs" dxfId="68" priority="228" stopIfTrue="1" operator="notBetween">
      <formula>$AU$25</formula>
      <formula>$AU$26</formula>
    </cfRule>
  </conditionalFormatting>
  <conditionalFormatting sqref="AV15:AV17 AV9:AV12">
    <cfRule type="cellIs" dxfId="67" priority="227" stopIfTrue="1" operator="notBetween">
      <formula>$AV$25</formula>
      <formula>$AV$26</formula>
    </cfRule>
  </conditionalFormatting>
  <conditionalFormatting sqref="AW15:AW17 AW9:AW12">
    <cfRule type="cellIs" dxfId="66" priority="16" stopIfTrue="1" operator="notBetween">
      <formula>$AW$25</formula>
      <formula>$AW$26</formula>
    </cfRule>
  </conditionalFormatting>
  <conditionalFormatting sqref="AX15:AX17 AX9:AX12">
    <cfRule type="cellIs" dxfId="65" priority="226" stopIfTrue="1" operator="notBetween">
      <formula>$AX$25</formula>
      <formula>$AX$26</formula>
    </cfRule>
  </conditionalFormatting>
  <conditionalFormatting sqref="AY15:AY17 AY9:AY12">
    <cfRule type="cellIs" dxfId="64" priority="15" stopIfTrue="1" operator="notBetween">
      <formula>$AY$25</formula>
      <formula>$AY$26</formula>
    </cfRule>
  </conditionalFormatting>
  <conditionalFormatting sqref="AZ15:AZ17 AZ9:AZ12">
    <cfRule type="cellIs" dxfId="63" priority="225" stopIfTrue="1" operator="notBetween">
      <formula>$AZ$25</formula>
      <formula>$AZ$26</formula>
    </cfRule>
  </conditionalFormatting>
  <conditionalFormatting sqref="BA15:BA17 BA9:BA12">
    <cfRule type="cellIs" dxfId="62" priority="1" stopIfTrue="1" operator="notBetween">
      <formula>$BA$25</formula>
      <formula>$BA$26</formula>
    </cfRule>
  </conditionalFormatting>
  <conditionalFormatting sqref="BB14:BB17 BB9:BB12">
    <cfRule type="expression" dxfId="61" priority="4369" stopIfTrue="1">
      <formula>NOT(AND($BB9-ultimoDiaTrim&gt;=$BB$26,$BB9-ultimoDiaTrim&lt;=$BB$25))</formula>
    </cfRule>
  </conditionalFormatting>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rgb="FF7B7890"/>
  </sheetPr>
  <dimension ref="B1:E3"/>
  <sheetViews>
    <sheetView workbookViewId="0">
      <selection activeCell="B6" sqref="B6"/>
    </sheetView>
  </sheetViews>
  <sheetFormatPr baseColWidth="10" defaultRowHeight="12.75"/>
  <cols>
    <col min="1" max="1" width="3.28515625" customWidth="1"/>
    <col min="2" max="2" width="86" customWidth="1"/>
    <col min="3" max="3" width="18" style="1137" customWidth="1"/>
    <col min="4" max="4" width="15" style="1137" customWidth="1"/>
    <col min="5" max="5" width="11.42578125" style="1146"/>
  </cols>
  <sheetData>
    <row r="1" spans="2:5" ht="83.25" customHeight="1"/>
    <row r="2" spans="2:5">
      <c r="B2" s="1138" t="s">
        <v>806</v>
      </c>
    </row>
    <row r="3" spans="2:5" ht="16.5" customHeight="1" thickBot="1">
      <c r="B3" s="1139" t="s">
        <v>807</v>
      </c>
      <c r="C3" s="1139" t="s">
        <v>808</v>
      </c>
      <c r="D3" s="1139" t="s">
        <v>809</v>
      </c>
      <c r="E3" s="1147" t="s">
        <v>814</v>
      </c>
    </row>
  </sheetData>
  <sheetProtection algorithmName="SHA-512" hashValue="Y8I1M+du8KtCM7frYwWsllkDMRQX0mtcajT47U6xgwO9Ey3VisltS2NlX5ogasQtIReVsHcODnDn6RlBHvuqEA==" saltValue="CinmfF3U0waOY+CILHUGSg==" spinCount="100000" sheet="1" objects="1" scenarios="1"/>
  <printOptions horizontalCentered="1"/>
  <pageMargins left="0.70866141732283472" right="0.70866141732283472" top="0.74803149606299213" bottom="0.74803149606299213" header="0.31496062992125984" footer="0.31496062992125984"/>
  <pageSetup paperSize="9" scale="65" orientation="landscape" r:id="rId1"/>
  <headerFooter>
    <oddFooter>Página &amp;P</oddFooter>
  </headerFooter>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
  <dimension ref="A1:BZ32"/>
  <sheetViews>
    <sheetView topLeftCell="C1" zoomScale="82" zoomScaleNormal="82" workbookViewId="0">
      <selection activeCell="C1" sqref="C1"/>
    </sheetView>
  </sheetViews>
  <sheetFormatPr baseColWidth="10" defaultColWidth="11.42578125" defaultRowHeight="12.75"/>
  <cols>
    <col min="1" max="1" width="15.42578125" style="642" hidden="1" customWidth="1"/>
    <col min="2" max="2" width="9.42578125" style="642" hidden="1" customWidth="1"/>
    <col min="3" max="3" width="37.28515625" style="644" bestFit="1" customWidth="1"/>
    <col min="4" max="4" width="7.42578125" style="644" customWidth="1"/>
    <col min="5" max="5" width="16.7109375" style="644" customWidth="1"/>
    <col min="6" max="6" width="15.85546875" style="644" customWidth="1"/>
    <col min="7" max="7" width="13.5703125" style="644" customWidth="1"/>
    <col min="8" max="8" width="14" style="644" customWidth="1"/>
    <col min="9" max="9" width="14.42578125" style="645" customWidth="1"/>
    <col min="10" max="11" width="14.28515625" style="644" customWidth="1"/>
    <col min="12" max="13" width="14.28515625" style="646" customWidth="1"/>
    <col min="14" max="15" width="14.7109375" style="644" customWidth="1"/>
    <col min="16" max="16" width="14.28515625" style="644" customWidth="1"/>
    <col min="17" max="18" width="14.28515625" style="647" customWidth="1"/>
    <col min="19" max="20" width="14.28515625" style="644" customWidth="1"/>
    <col min="21" max="22" width="14.28515625" style="647" customWidth="1"/>
    <col min="23" max="24" width="14.140625" style="644" customWidth="1"/>
    <col min="25" max="25" width="14.28515625" style="780" customWidth="1"/>
    <col min="26" max="26" width="12.85546875" style="644" customWidth="1"/>
    <col min="27" max="27" width="14.28515625" style="647" customWidth="1"/>
    <col min="28" max="29" width="14.85546875" style="644" customWidth="1"/>
    <col min="30" max="31" width="16.28515625" style="644" customWidth="1"/>
    <col min="32" max="33" width="14.28515625" style="644" customWidth="1"/>
    <col min="34" max="35" width="16.28515625" style="644" customWidth="1"/>
    <col min="36" max="36" width="12.5703125" style="644" customWidth="1"/>
    <col min="37" max="37" width="13" style="644" customWidth="1"/>
    <col min="38" max="39" width="12.85546875" style="644" customWidth="1"/>
    <col min="40" max="41" width="11.42578125" style="644"/>
    <col min="42" max="43" width="12.28515625" style="644" customWidth="1"/>
    <col min="44" max="45" width="16.140625" style="647" customWidth="1"/>
    <col min="46" max="49" width="14.5703125" style="644" customWidth="1"/>
    <col min="50" max="51" width="13.42578125" style="644" customWidth="1"/>
    <col min="52" max="54" width="14.85546875" style="644" customWidth="1"/>
    <col min="55" max="56" width="14.42578125" hidden="1" customWidth="1"/>
    <col min="57" max="57" width="15.85546875" style="644" hidden="1" customWidth="1"/>
    <col min="58" max="65" width="11.42578125" style="644" hidden="1" customWidth="1"/>
    <col min="66" max="77" width="11.42578125" style="644"/>
    <col min="78" max="78" width="0" style="1025" hidden="1" customWidth="1"/>
    <col min="79" max="16384" width="11.42578125" style="644"/>
  </cols>
  <sheetData>
    <row r="1" spans="1:78">
      <c r="C1" s="643" t="str">
        <f>Criterios!A9 &amp;"  "&amp;Criterios!B9</f>
        <v>Tribunales de Justicia  CATALUÑA</v>
      </c>
      <c r="W1"/>
      <c r="X1"/>
    </row>
    <row r="2" spans="1:78" ht="16.5" customHeight="1">
      <c r="C2" s="487" t="str">
        <f>Criterios!A10 &amp;"  "&amp;Criterios!B10 &amp; "  " &amp; IF(NOT(ISBLANK(Criterios!A11)),Criterios!A11 &amp;"  "&amp;Criterios!B11,"")</f>
        <v>Provincias  BARCELONA  Resumenes por Partidos Judiciales  VIC</v>
      </c>
      <c r="D2" s="643"/>
      <c r="E2" s="648"/>
      <c r="F2" s="648"/>
      <c r="G2" s="649"/>
      <c r="H2" s="648"/>
      <c r="I2" s="650"/>
      <c r="J2" s="648"/>
      <c r="K2" s="648"/>
      <c r="L2" s="651"/>
      <c r="M2" s="651"/>
      <c r="N2" s="648"/>
      <c r="O2" s="648"/>
      <c r="S2" s="648"/>
      <c r="T2" s="648"/>
      <c r="U2" s="652"/>
      <c r="V2" s="652"/>
      <c r="W2" s="648"/>
      <c r="X2" s="648"/>
      <c r="Y2" s="781"/>
      <c r="BC2" s="261"/>
      <c r="BD2" s="261"/>
      <c r="BE2" s="648"/>
    </row>
    <row r="3" spans="1:78" ht="16.5" customHeight="1">
      <c r="C3" s="653"/>
      <c r="D3" s="654"/>
      <c r="G3" s="649"/>
      <c r="H3" s="648"/>
      <c r="W3"/>
      <c r="X3"/>
      <c r="BZ3" s="470"/>
    </row>
    <row r="4" spans="1:78" ht="16.5" customHeight="1" thickBot="1">
      <c r="C4" s="653"/>
      <c r="D4" s="655"/>
      <c r="E4" s="656"/>
      <c r="F4" s="656"/>
      <c r="G4" s="656"/>
      <c r="H4" s="656"/>
      <c r="I4" s="657"/>
      <c r="J4" s="656"/>
      <c r="K4" s="656"/>
      <c r="L4" s="651"/>
      <c r="M4" s="656"/>
      <c r="N4" s="656"/>
      <c r="O4" s="656"/>
      <c r="P4" s="656"/>
      <c r="Q4" s="652"/>
      <c r="R4" s="652"/>
      <c r="S4" s="656"/>
      <c r="T4" s="656"/>
      <c r="U4" s="656"/>
      <c r="V4" s="656"/>
      <c r="W4" s="656"/>
      <c r="X4" s="656"/>
      <c r="Y4" s="781"/>
      <c r="Z4" s="656"/>
      <c r="AA4" s="656"/>
      <c r="AB4" s="656"/>
      <c r="AC4" s="656"/>
      <c r="AD4" s="656"/>
      <c r="AE4" s="656"/>
      <c r="AF4" s="656"/>
      <c r="AG4" s="656"/>
      <c r="AH4" s="656"/>
      <c r="AI4" s="656"/>
      <c r="AJ4" s="656"/>
      <c r="AK4" s="656"/>
      <c r="AL4" s="656"/>
      <c r="AM4" s="656"/>
      <c r="AN4" s="656"/>
      <c r="AO4" s="656"/>
      <c r="AP4" s="656"/>
      <c r="AQ4" s="656"/>
      <c r="AR4" s="656"/>
      <c r="AS4" s="656"/>
      <c r="AT4" s="656"/>
      <c r="AU4" s="656"/>
      <c r="AV4" s="656"/>
      <c r="AW4" s="656"/>
      <c r="AX4" s="656"/>
      <c r="AY4" s="656"/>
      <c r="AZ4" s="656"/>
      <c r="BA4" s="656"/>
      <c r="BB4" s="656"/>
      <c r="BC4" s="329"/>
      <c r="BD4" s="329"/>
      <c r="BE4" s="656"/>
      <c r="BZ4" s="470"/>
    </row>
    <row r="5" spans="1:78" ht="15.75" customHeight="1">
      <c r="A5" s="1284" t="s">
        <v>351</v>
      </c>
      <c r="B5" s="271"/>
      <c r="C5" s="1284" t="str">
        <f>"Año:  " &amp;Criterios!B$5 &amp; "          Trimestre   " &amp;Criterios!D$5 &amp; " al " &amp;Criterios!D$6</f>
        <v>Año:  2025          Trimestre   4 al 4</v>
      </c>
      <c r="D5" s="1494" t="s">
        <v>424</v>
      </c>
      <c r="E5" s="1494" t="s">
        <v>555</v>
      </c>
      <c r="F5" s="1523" t="s">
        <v>406</v>
      </c>
      <c r="G5" s="1494" t="s">
        <v>128</v>
      </c>
      <c r="H5" s="1494" t="s">
        <v>688</v>
      </c>
      <c r="I5" s="1494" t="s">
        <v>689</v>
      </c>
      <c r="J5" s="1494" t="s">
        <v>692</v>
      </c>
      <c r="K5" s="1494" t="s">
        <v>693</v>
      </c>
      <c r="L5" s="1494" t="s">
        <v>583</v>
      </c>
      <c r="M5" s="1494" t="s">
        <v>714</v>
      </c>
      <c r="N5" s="1494" t="s">
        <v>694</v>
      </c>
      <c r="O5" s="1494" t="s">
        <v>690</v>
      </c>
      <c r="P5" s="1494" t="s">
        <v>168</v>
      </c>
      <c r="Q5" s="1494" t="s">
        <v>671</v>
      </c>
      <c r="R5" s="1494" t="s">
        <v>715</v>
      </c>
      <c r="S5" s="1494" t="str">
        <f>"Ingreso Computable 2003" &amp; IF(OR(EXACT(LEFT(boletin,2),"04"),EXACT(LEFT(boletin,2),"14"),EXACT(LEFT(boletin,2),"17"))," (Civil + Penal)","")</f>
        <v>Ingreso Computable 2003</v>
      </c>
      <c r="T5" s="1494" t="s">
        <v>691</v>
      </c>
      <c r="U5" s="1529" t="str">
        <f>"% Ingreso Computable 2003" &amp; IF(OR(EXACT(LEFT(boletin,2),"04"),EXACT(LEFT(boletin,2),"14"),EXACT(LEFT(boletin,2),"17"))," (Civil + Penal)","")</f>
        <v>% Ingreso Computable 2003</v>
      </c>
      <c r="V5" s="1529" t="s">
        <v>695</v>
      </c>
      <c r="W5" s="1494" t="s">
        <v>756</v>
      </c>
      <c r="X5" s="1494" t="s">
        <v>757</v>
      </c>
      <c r="Y5" s="1497" t="s">
        <v>662</v>
      </c>
      <c r="Z5" s="1553" t="str">
        <f>"RESOLUCION Nº  H/P" &amp; IF(OR(EXACT(LEFT(boletin,2),"04"),EXACT(LEFT(boletin,2),"14"),EXACT(LEFT(boletin,2),"17"))," (Civil + Penal)","")</f>
        <v>RESOLUCION Nº  H/P</v>
      </c>
      <c r="AA5" s="1556" t="str">
        <f>" % S/Iindicador  De  Resolución (Horas punto)" &amp; IF(OR(EXACT(LEFT(boletin,2),"04"),EXACT(LEFT(boletin,2),"14"),EXACT(LEFT(boletin,2),"17"))," (Civil + Penal)","")</f>
        <v xml:space="preserve"> % S/Iindicador  De  Resolución (Horas punto)</v>
      </c>
      <c r="AB5" s="1553" t="s">
        <v>696</v>
      </c>
      <c r="AC5" s="1553" t="s">
        <v>697</v>
      </c>
      <c r="AD5" s="1553" t="s">
        <v>698</v>
      </c>
      <c r="AE5" s="1553" t="s">
        <v>699</v>
      </c>
      <c r="AF5" s="1494" t="s">
        <v>700</v>
      </c>
      <c r="AG5" s="1494" t="s">
        <v>701</v>
      </c>
      <c r="AH5" s="1494" t="s">
        <v>702</v>
      </c>
      <c r="AI5" s="1494" t="s">
        <v>703</v>
      </c>
      <c r="AJ5" s="1494" t="s">
        <v>182</v>
      </c>
      <c r="AK5" s="1506" t="s">
        <v>534</v>
      </c>
      <c r="AL5" s="1506" t="s">
        <v>183</v>
      </c>
      <c r="AM5" s="1494" t="s">
        <v>565</v>
      </c>
      <c r="AN5" s="1494" t="s">
        <v>247</v>
      </c>
      <c r="AO5" s="1494" t="s">
        <v>248</v>
      </c>
      <c r="AP5" s="1494" t="s">
        <v>704</v>
      </c>
      <c r="AQ5" s="1494" t="s">
        <v>705</v>
      </c>
      <c r="AR5" s="1494" t="s">
        <v>706</v>
      </c>
      <c r="AS5" s="1494" t="s">
        <v>707</v>
      </c>
      <c r="AT5" s="1494" t="s">
        <v>708</v>
      </c>
      <c r="AU5" s="1494" t="s">
        <v>709</v>
      </c>
      <c r="AV5" s="1494" t="s">
        <v>710</v>
      </c>
      <c r="AW5" s="1494" t="s">
        <v>711</v>
      </c>
      <c r="AX5" s="1494" t="s">
        <v>828</v>
      </c>
      <c r="AY5" s="1494" t="s">
        <v>831</v>
      </c>
      <c r="AZ5" s="1494" t="s">
        <v>712</v>
      </c>
      <c r="BA5" s="1494" t="s">
        <v>713</v>
      </c>
      <c r="BB5" s="1494" t="s">
        <v>533</v>
      </c>
      <c r="BC5" s="1353" t="s">
        <v>720</v>
      </c>
      <c r="BD5" s="1353" t="s">
        <v>721</v>
      </c>
      <c r="BE5" s="1523" t="s">
        <v>722</v>
      </c>
      <c r="BF5" s="1550"/>
      <c r="BG5" s="1551"/>
      <c r="BH5" s="1550"/>
      <c r="BI5" s="1551"/>
      <c r="BJ5" s="1550"/>
      <c r="BK5" s="1551"/>
      <c r="BL5" s="1550"/>
      <c r="BM5" s="1551"/>
      <c r="BZ5" s="470"/>
    </row>
    <row r="6" spans="1:78" ht="21.75" customHeight="1">
      <c r="A6" s="1545"/>
      <c r="B6" s="658"/>
      <c r="C6" s="1547"/>
      <c r="D6" s="1495"/>
      <c r="E6" s="1495"/>
      <c r="F6" s="1524"/>
      <c r="G6" s="1495"/>
      <c r="H6" s="1495"/>
      <c r="I6" s="1495"/>
      <c r="J6" s="1495"/>
      <c r="K6" s="1495"/>
      <c r="L6" s="1495"/>
      <c r="M6" s="1495"/>
      <c r="N6" s="1495"/>
      <c r="O6" s="1495"/>
      <c r="P6" s="1495"/>
      <c r="Q6" s="1495"/>
      <c r="R6" s="1495"/>
      <c r="S6" s="1495"/>
      <c r="T6" s="1495"/>
      <c r="U6" s="1530"/>
      <c r="V6" s="1530"/>
      <c r="W6" s="1495"/>
      <c r="X6" s="1495"/>
      <c r="Y6" s="1498"/>
      <c r="Z6" s="1554"/>
      <c r="AA6" s="1557"/>
      <c r="AB6" s="1554"/>
      <c r="AC6" s="1554"/>
      <c r="AD6" s="1554"/>
      <c r="AE6" s="1554"/>
      <c r="AF6" s="1495"/>
      <c r="AG6" s="1495"/>
      <c r="AH6" s="1495"/>
      <c r="AI6" s="1495"/>
      <c r="AJ6" s="1495"/>
      <c r="AK6" s="1507"/>
      <c r="AL6" s="1507"/>
      <c r="AM6" s="1495"/>
      <c r="AN6" s="1495"/>
      <c r="AO6" s="1495"/>
      <c r="AP6" s="1495"/>
      <c r="AQ6" s="1495"/>
      <c r="AR6" s="1495"/>
      <c r="AS6" s="1495"/>
      <c r="AT6" s="1495"/>
      <c r="AU6" s="1495"/>
      <c r="AV6" s="1495"/>
      <c r="AW6" s="1495"/>
      <c r="AX6" s="1495"/>
      <c r="AY6" s="1495"/>
      <c r="AZ6" s="1495"/>
      <c r="BA6" s="1495"/>
      <c r="BB6" s="1495"/>
      <c r="BC6" s="1354"/>
      <c r="BD6" s="1354"/>
      <c r="BE6" s="1524"/>
      <c r="BF6" s="1548"/>
      <c r="BG6" s="1548"/>
      <c r="BH6" s="1548"/>
      <c r="BI6" s="1548"/>
      <c r="BJ6" s="1548"/>
      <c r="BK6" s="1548"/>
      <c r="BL6" s="1548"/>
      <c r="BM6" s="1548"/>
      <c r="BZ6" s="470"/>
    </row>
    <row r="7" spans="1:78" ht="38.25" customHeight="1" thickBot="1">
      <c r="A7" s="1546"/>
      <c r="B7" s="659"/>
      <c r="C7" s="660" t="str">
        <f>Datos!A7</f>
        <v>COMPETENCIAS</v>
      </c>
      <c r="D7" s="1496"/>
      <c r="E7" s="1496"/>
      <c r="F7" s="1525"/>
      <c r="G7" s="1496"/>
      <c r="H7" s="1496"/>
      <c r="I7" s="1496"/>
      <c r="J7" s="1496"/>
      <c r="K7" s="1496"/>
      <c r="L7" s="1496"/>
      <c r="M7" s="1496"/>
      <c r="N7" s="1496"/>
      <c r="O7" s="1496"/>
      <c r="P7" s="1496"/>
      <c r="Q7" s="1496"/>
      <c r="R7" s="1496"/>
      <c r="S7" s="1496"/>
      <c r="T7" s="1496"/>
      <c r="U7" s="1531"/>
      <c r="V7" s="1531"/>
      <c r="W7" s="1496"/>
      <c r="X7" s="1496"/>
      <c r="Y7" s="1499"/>
      <c r="Z7" s="1555"/>
      <c r="AA7" s="1558"/>
      <c r="AB7" s="1555"/>
      <c r="AC7" s="1555"/>
      <c r="AD7" s="1555"/>
      <c r="AE7" s="1555"/>
      <c r="AF7" s="1496"/>
      <c r="AG7" s="1496"/>
      <c r="AH7" s="1496"/>
      <c r="AI7" s="1496"/>
      <c r="AJ7" s="1496"/>
      <c r="AK7" s="1508"/>
      <c r="AL7" s="1508"/>
      <c r="AM7" s="1496"/>
      <c r="AN7" s="1496"/>
      <c r="AO7" s="1496"/>
      <c r="AP7" s="1496"/>
      <c r="AQ7" s="1496"/>
      <c r="AR7" s="1496"/>
      <c r="AS7" s="1496"/>
      <c r="AT7" s="1496"/>
      <c r="AU7" s="1496"/>
      <c r="AV7" s="1496"/>
      <c r="AW7" s="1496"/>
      <c r="AX7" s="1496"/>
      <c r="AY7" s="1496"/>
      <c r="AZ7" s="1496"/>
      <c r="BA7" s="1496"/>
      <c r="BB7" s="1496"/>
      <c r="BC7" s="1552"/>
      <c r="BD7" s="1552"/>
      <c r="BE7" s="1525"/>
      <c r="BF7" s="1549"/>
      <c r="BG7" s="1549"/>
      <c r="BH7" s="1549"/>
      <c r="BI7" s="1549"/>
      <c r="BJ7" s="1549"/>
      <c r="BK7" s="1549"/>
      <c r="BL7" s="1549"/>
      <c r="BM7" s="1549"/>
      <c r="BZ7" s="470"/>
    </row>
    <row r="8" spans="1:78" ht="15.75" thickTop="1" thickBot="1">
      <c r="A8" s="661"/>
      <c r="B8" s="661"/>
      <c r="C8" s="160" t="str">
        <f>Datos!A8</f>
        <v>Jurisdicción Civil ( 1 ):</v>
      </c>
      <c r="D8" s="662"/>
      <c r="E8" s="662"/>
      <c r="F8" s="663"/>
      <c r="G8" s="663"/>
      <c r="H8" s="663"/>
      <c r="I8" s="664"/>
      <c r="J8" s="664"/>
      <c r="K8" s="664"/>
      <c r="L8" s="665"/>
      <c r="M8" s="665"/>
      <c r="N8" s="664"/>
      <c r="O8" s="664"/>
      <c r="P8" s="664"/>
      <c r="Q8" s="666"/>
      <c r="R8" s="666"/>
      <c r="S8" s="664"/>
      <c r="T8" s="664"/>
      <c r="U8" s="666"/>
      <c r="V8" s="666"/>
      <c r="W8" s="1015"/>
      <c r="X8" s="1016"/>
      <c r="Y8" s="664"/>
      <c r="Z8" s="667"/>
      <c r="AA8" s="668"/>
      <c r="AB8" s="663"/>
      <c r="AC8" s="663"/>
      <c r="AD8" s="664"/>
      <c r="AE8" s="664"/>
      <c r="AF8" s="663"/>
      <c r="AG8" s="663"/>
      <c r="AH8" s="664"/>
      <c r="AI8" s="664"/>
      <c r="AJ8" s="669"/>
      <c r="AK8" s="671"/>
      <c r="AL8" s="663"/>
      <c r="AM8" s="664"/>
      <c r="AN8" s="673"/>
      <c r="AO8" s="674"/>
      <c r="AP8" s="776"/>
      <c r="AQ8" s="776"/>
      <c r="AR8" s="675"/>
      <c r="AS8" s="675"/>
      <c r="AT8" s="675"/>
      <c r="AU8" s="675"/>
      <c r="AV8" s="676"/>
      <c r="AW8" s="676"/>
      <c r="AX8" s="675"/>
      <c r="AY8" s="675"/>
      <c r="AZ8" s="678"/>
      <c r="BA8" s="678"/>
      <c r="BB8" s="679"/>
      <c r="BC8" s="216"/>
      <c r="BD8" s="216"/>
      <c r="BE8" s="663"/>
      <c r="BF8" s="680"/>
      <c r="BG8" s="680"/>
      <c r="BH8" s="680"/>
      <c r="BI8" s="680"/>
      <c r="BJ8" s="680"/>
      <c r="BK8" s="680"/>
      <c r="BL8" s="680"/>
      <c r="BM8" s="680"/>
    </row>
    <row r="9" spans="1:78" ht="15">
      <c r="A9" s="500">
        <f>Datos!AO9</f>
        <v>0</v>
      </c>
      <c r="B9" s="500" t="s">
        <v>246</v>
      </c>
      <c r="C9" s="159" t="str">
        <f>Datos!A9</f>
        <v xml:space="preserve">Jdos. 1ª Instancia   </v>
      </c>
      <c r="D9" s="501"/>
      <c r="E9" s="681">
        <f>IF(ISNUMBER(Datos!AQ9),Datos!AQ9," - ")</f>
        <v>0</v>
      </c>
      <c r="F9" s="682" t="str">
        <f>IF(ISNUMBER(AF9+AB9-I9),AF9+AB9-I9," - ")</f>
        <v xml:space="preserve"> - </v>
      </c>
      <c r="G9" s="683" t="str">
        <f>IF(ISNUMBER(IF(J_V="SI",Datos!I9,Datos!I9+Datos!Y9)-IF(Monitorios="SI",Datos!CA9,0)),
                          IF(J_V="SI",Datos!I9,Datos!I9+Datos!Y9)-IF(Monitorios="SI",Datos!CA9,0),
                          " - ")</f>
        <v xml:space="preserve"> - </v>
      </c>
      <c r="H9" s="682"/>
      <c r="I9" s="684"/>
      <c r="J9" s="684">
        <f>IF(ISNUMBER(Datos!DF9),Datos!DF9,0)</f>
        <v>0</v>
      </c>
      <c r="K9" s="684"/>
      <c r="L9" s="681"/>
      <c r="M9" s="681"/>
      <c r="N9" s="684"/>
      <c r="O9" s="684"/>
      <c r="P9" s="684"/>
      <c r="Q9" s="685"/>
      <c r="R9" s="685"/>
      <c r="S9" s="684"/>
      <c r="T9" s="684"/>
      <c r="U9" s="686"/>
      <c r="V9" s="686"/>
      <c r="W9" s="684"/>
      <c r="X9" s="1017"/>
      <c r="Y9" s="783"/>
      <c r="Z9" s="682"/>
      <c r="AA9" s="724"/>
      <c r="AB9" s="682"/>
      <c r="AC9" s="682"/>
      <c r="AD9" s="684"/>
      <c r="AE9" s="684"/>
      <c r="AF9" s="687" t="str">
        <f>IF(ISNUMBER(IF(J_V="SI",Datos!L9,Datos!L9+Datos!AB9)-IF(Monitorios="SI",Datos!CD9,0)),
                          IF(J_V="SI",Datos!L9,Datos!L9+Datos!AB9)-IF(Monitorios="SI",Datos!CD9,0),
                          " - ")</f>
        <v xml:space="preserve"> - </v>
      </c>
      <c r="AG9" s="687"/>
      <c r="AH9" s="688"/>
      <c r="AI9" s="688"/>
      <c r="AJ9" s="681"/>
      <c r="AK9" s="671"/>
      <c r="AL9" s="682"/>
      <c r="AM9" s="689"/>
      <c r="AN9" s="689"/>
      <c r="AO9" s="690"/>
      <c r="AP9" s="692"/>
      <c r="AQ9" s="692"/>
      <c r="AR9" s="693"/>
      <c r="AS9" s="693"/>
      <c r="AT9" s="693"/>
      <c r="AU9" s="693"/>
      <c r="AV9" s="694"/>
      <c r="AW9" s="694"/>
      <c r="AX9" s="696"/>
      <c r="AY9" s="696"/>
      <c r="AZ9" s="696"/>
      <c r="BA9" s="696"/>
      <c r="BB9" s="697">
        <f>Datos!DU9</f>
        <v>0</v>
      </c>
      <c r="BC9" s="225"/>
      <c r="BD9" s="225"/>
      <c r="BE9" s="682"/>
      <c r="BF9" s="698"/>
      <c r="BG9" s="698"/>
      <c r="BH9" s="698"/>
      <c r="BI9" s="698"/>
      <c r="BJ9" s="698"/>
      <c r="BK9" s="698"/>
      <c r="BL9" s="698"/>
      <c r="BM9" s="698"/>
      <c r="BZ9" s="1185">
        <f>Datos!EZ9</f>
        <v>0</v>
      </c>
    </row>
    <row r="10" spans="1:78" ht="15">
      <c r="A10" s="500">
        <f>Datos!AO10</f>
        <v>1</v>
      </c>
      <c r="B10" s="506" t="s">
        <v>246</v>
      </c>
      <c r="C10" s="7" t="str">
        <f>Datos!A10</f>
        <v>Jdos. Violencia contra la mujer/Secc Viol. TI.</v>
      </c>
      <c r="D10" s="507"/>
      <c r="E10" s="681">
        <f>IF(ISNUMBER(Datos!AQ10),Datos!AQ10," - ")</f>
        <v>0</v>
      </c>
      <c r="F10" s="682">
        <f>IF(ISNUMBER(Datos!L10+Datos!K10-Datos!J10),Datos!L10+Datos!K10-Datos!J10," - ")</f>
        <v>98</v>
      </c>
      <c r="G10" s="683">
        <f>IF(ISNUMBER(Datos!I10),Datos!I10," - ")</f>
        <v>98</v>
      </c>
      <c r="H10" s="682" t="str">
        <f>IF(ISNUMBER(Datos!DB10),Datos!DB10," - ")</f>
        <v xml:space="preserve"> - </v>
      </c>
      <c r="I10" s="684" t="str">
        <f>IF(ISNUMBER(DatosP!DB17),DatosP!DB17," - ")</f>
        <v xml:space="preserve"> - </v>
      </c>
      <c r="J10" s="684">
        <f>IF(ISNUMBER(Datos!DF10),Datos!DF10,0)</f>
        <v>0</v>
      </c>
      <c r="K10" s="684">
        <f>IF(ISNUMBER(DatosP!DF17),DatosP!DF17,0)</f>
        <v>0</v>
      </c>
      <c r="L10" s="681" t="str">
        <f>IF(ISNUMBER(DatosP!EB17),DatosP!EB17," - ")</f>
        <v xml:space="preserve"> - </v>
      </c>
      <c r="M10" s="681" t="str">
        <f>IF(ISNUMBER(DatosP!EC17),DatosP!EC17," - ")</f>
        <v xml:space="preserve"> - </v>
      </c>
      <c r="N10" s="684">
        <f>IF(ISNUMBER(Datos!P10),Datos!P10,0)</f>
        <v>9</v>
      </c>
      <c r="O10" s="684">
        <f>IF(ISNUMBER(DatosP!P17),DatosP!P17,0)</f>
        <v>0</v>
      </c>
      <c r="P10" s="684"/>
      <c r="Q10" s="685" t="str">
        <f>IF(ISNUMBER(DatosP!EB17*factor_trimestre/DatosP!EE17),DatosP!EB17*factor_trimestre/DatosP!EE17," - ")</f>
        <v xml:space="preserve"> - </v>
      </c>
      <c r="R10" s="685" t="str">
        <f>IF(ISNUMBER(DatosP!EC17*factor_trimestre/DatosP!EF17),DatosP!EC17*factor_trimestre/DatosP!EF17," - ")</f>
        <v xml:space="preserve"> - </v>
      </c>
      <c r="S10" s="684" t="str">
        <f>IF(ISNUMBER(Datos!AS10/E10),Datos!AS10/E10," - ")</f>
        <v xml:space="preserve"> - </v>
      </c>
      <c r="T10" s="684" t="str">
        <f>IF(ISNUMBER(DatosP!AS17/E10),DatosP!AS17/E10," - ")</f>
        <v xml:space="preserve"> - </v>
      </c>
      <c r="U10" s="686" t="str">
        <f>IF(ISNUMBER(S10/(Datos!BM10/factor_trimestre)),S10/(Datos!BM10/factor_trimestre)," - ")</f>
        <v xml:space="preserve"> - </v>
      </c>
      <c r="V10" s="686" t="str">
        <f>IF(ISNUMBER(T10/(DatosP!BM17/factor_trimestre)),T10/(Datos!BM17/factor_trimestre)," - ")</f>
        <v xml:space="preserve"> - </v>
      </c>
      <c r="W10" s="684" t="str">
        <f>IF(ISNUMBER(Datos!EO10+DatosP!EO17),Datos!EO10+DatosP!EO17," - ")</f>
        <v xml:space="preserve"> - </v>
      </c>
      <c r="X10" s="1017" t="str">
        <f>IF(ISNUMBER((W10/(Datos!ER10))*factor_trimestre),(W10/(Datos!ER10))*factor_trimestre," - ")</f>
        <v xml:space="preserve"> - </v>
      </c>
      <c r="Y10" s="783"/>
      <c r="Z10" s="682">
        <f>IF(ISNUMBER(Datos!BY10+DatosP!BY17+Datos!BZ10+DatosP!BZ17),Datos!BY10+DatosP!BY17+Datos!BZ10+DatosP!BZ17," - ")</f>
        <v>0</v>
      </c>
      <c r="AA10" s="724">
        <f>IF(ISNUMBER((Z10*factor_trimestre)/((Datos!CN10+DatosP!CN17)/2)),(Z10*factor_trimestre)/((Datos!CN10+DatosP!CN17)/2),"-")</f>
        <v>0</v>
      </c>
      <c r="AB10" s="682">
        <f>IF(ISNUMBER(Datos!K10),Datos!K10," - ")</f>
        <v>12</v>
      </c>
      <c r="AC10" s="682" t="str">
        <f>IF(ISNUMBER(IF(D_I="SI",DatosP!K17,DatosP!K17+DatosP!AE17)),IF(D_I="SI",DatosP!K17,DatosP!K17+DatosP!AE17)," - ")</f>
        <v xml:space="preserve"> - </v>
      </c>
      <c r="AD10" s="684"/>
      <c r="AE10" s="684"/>
      <c r="AF10" s="687">
        <f>IF(ISNUMBER(Datos!L10),Datos!L10,"-")</f>
        <v>97</v>
      </c>
      <c r="AG10" s="687" t="str">
        <f>IF(ISNUMBER(DatosP!L17),DatosP!L17,"-")</f>
        <v>-</v>
      </c>
      <c r="AH10" s="688"/>
      <c r="AI10" s="688"/>
      <c r="AJ10" s="681">
        <f>IF(ISNUMBER(Datos!BV10+DatosP!BV17),Datos!BV10+DatosP!BV17," - ")</f>
        <v>0</v>
      </c>
      <c r="AK10" s="671">
        <f>IF(ISNUMBER(Datos!DV10+DatosP!DV17),Datos!DV10+DatosP!DV17," - ")</f>
        <v>0</v>
      </c>
      <c r="AL10" s="682">
        <f>IF(ISNUMBER(Datos!M10+DatosP!M17),Datos!M10+DatosP!M17," - ")</f>
        <v>8</v>
      </c>
      <c r="AM10" s="689">
        <f>IF(ISNUMBER(Datos!N10+DatosP!N17),Datos!N10+DatosP!N17," - ")</f>
        <v>4</v>
      </c>
      <c r="AN10" s="689">
        <f>IF(ISNUMBER(Datos!BW10+DatosP!BW17),Datos!BW10+DatosP!BW17," - ")</f>
        <v>0</v>
      </c>
      <c r="AO10" s="690">
        <f>IF(ISNUMBER(Datos!BX10+DatosP!BX17),Datos!BX10+DatosP!BX17," - ")</f>
        <v>0</v>
      </c>
      <c r="AP10" s="692">
        <f>IF(ISNUMBER(((Datos!L10/Datos!K10)*11)/factor_trimestre),((Datos!L10/Datos!K10)*11)/factor_trimestre," - ")</f>
        <v>24.250000000000004</v>
      </c>
      <c r="AQ10" s="692" t="str">
        <f>IF(ISNUMBER(((IF(D_I="SI",DatosP!L17/DatosP!K17,(DatosP!L17+DatosP!AF17)/(DatosP!K17+DatosP!AE17)))*11)/factor_trimestre),((IF(D_I="SI",DatosP!L17/DatosP!K17,(DatosP!L17+DatosP!AF17)/(DatosP!K17+DatosP!AE17)))*11)/factor_trimestre," - ")</f>
        <v xml:space="preserve"> - </v>
      </c>
      <c r="AR10" s="693" t="str">
        <f>IF(ISNUMBER(Datos!CI10/Datos!CJ10),Datos!CI10/Datos!CJ10," - ")</f>
        <v xml:space="preserve"> - </v>
      </c>
      <c r="AS10" s="693" t="str">
        <f>IF(ISNUMBER(DatosP!CI17/DatosP!CJ17),DatosP!CI17/DatosP!CJ17," - ")</f>
        <v xml:space="preserve"> - </v>
      </c>
      <c r="AT10" s="693" t="str">
        <f>IF(ISNUMBER(((H10-AB10+J10)/(F10-J10))),(H10-AB10+J10)/(F10-J10)," - ")</f>
        <v xml:space="preserve"> - </v>
      </c>
      <c r="AU10" s="693" t="str">
        <f>IF(ISNUMBER((DatosP!DB17-DatosP!K17+DatosP!DF17)/(DatosP!L17+DatosP!K17-DatosP!J17-DatosP!DF17)),(DatosP!DB17-DatosP!K17+DatosP!DF17)/(DatosP!L17+DatosP!K17-DatosP!J17-DatosP!DF17)," - ")</f>
        <v xml:space="preserve"> - </v>
      </c>
      <c r="AV10" s="694"/>
      <c r="AW10" s="694"/>
      <c r="AX10" s="696">
        <f>IF(ISNUMBER(Datos!EV10+DatosP!EV17),Datos!EV10+DatosP!EV17," - ")</f>
        <v>0</v>
      </c>
      <c r="AY10" s="696">
        <f>IF(ISNUMBER(Datos!CW10+DatosP!CW17),Datos!CW10+DatosP!CW17," - ")</f>
        <v>0</v>
      </c>
      <c r="AZ10" s="696">
        <f>Datos!CX10</f>
        <v>0</v>
      </c>
      <c r="BA10" s="696">
        <f>DatosP!CX17</f>
        <v>0</v>
      </c>
      <c r="BB10" s="697">
        <f>Datos!DU10</f>
        <v>0</v>
      </c>
      <c r="BC10" s="225"/>
      <c r="BD10" s="225"/>
      <c r="BE10" s="682">
        <f>IF(ISNUMBER(DatosP!L17+DatosP!K17-DatosP!J17),DatosP!L17+DatosP!K17-DatosP!J17," - ")</f>
        <v>0</v>
      </c>
      <c r="BF10" s="698"/>
      <c r="BG10" s="698"/>
      <c r="BH10" s="698"/>
      <c r="BI10" s="698"/>
      <c r="BJ10" s="698"/>
      <c r="BK10" s="698"/>
      <c r="BL10" s="698"/>
      <c r="BM10" s="698"/>
      <c r="BZ10" s="1185">
        <f>Datos!EZ10</f>
        <v>0</v>
      </c>
    </row>
    <row r="11" spans="1:78" ht="15">
      <c r="A11" s="500">
        <f>Datos!AO11</f>
        <v>0</v>
      </c>
      <c r="B11" s="506" t="s">
        <v>246</v>
      </c>
      <c r="C11" s="7" t="str">
        <f>Datos!A11</f>
        <v xml:space="preserve">Jdos. Familia                                   </v>
      </c>
      <c r="D11" s="507"/>
      <c r="E11" s="681">
        <f>IF(ISNUMBER(Datos!AQ11),Datos!AQ11," - ")</f>
        <v>0</v>
      </c>
      <c r="F11" s="682" t="str">
        <f>IF(ISNUMBER(AF11+AB11-I11),AF11+AB11-I11," - ")</f>
        <v xml:space="preserve"> - </v>
      </c>
      <c r="G11" s="683" t="str">
        <f>IF(ISNUMBER(IF(J_V="SI",Datos!I11,Datos!I11+Datos!Y11)-IF(Monitorios="SI",Datos!CA11,0)),
                          IF(J_V="SI",Datos!I11,Datos!I11+Datos!Y11)-IF(Monitorios="SI",Datos!CA11,0),
                          " - ")</f>
        <v xml:space="preserve"> - </v>
      </c>
      <c r="H11" s="682"/>
      <c r="I11" s="684"/>
      <c r="J11" s="684">
        <f>IF(ISNUMBER(Datos!DF11),Datos!DF11,0)</f>
        <v>0</v>
      </c>
      <c r="K11" s="684"/>
      <c r="L11" s="681"/>
      <c r="M11" s="681"/>
      <c r="N11" s="684"/>
      <c r="O11" s="684"/>
      <c r="P11" s="684"/>
      <c r="Q11" s="685"/>
      <c r="R11" s="685"/>
      <c r="S11" s="684"/>
      <c r="T11" s="684"/>
      <c r="U11" s="686"/>
      <c r="V11" s="686"/>
      <c r="W11" s="684"/>
      <c r="X11" s="1017"/>
      <c r="Y11" s="783"/>
      <c r="Z11" s="682"/>
      <c r="AA11" s="724"/>
      <c r="AB11" s="682"/>
      <c r="AC11" s="682"/>
      <c r="AD11" s="684"/>
      <c r="AE11" s="684"/>
      <c r="AF11" s="687" t="str">
        <f>IF(ISNUMBER(IF(J_V="SI",Datos!L11,Datos!L11+Datos!AB11)-IF(Monitorios="SI",Datos!CD11,0)),
                          IF(J_V="SI",Datos!L11,Datos!L11+Datos!AB11)-IF(Monitorios="SI",Datos!CD11,0),
                          " - ")</f>
        <v xml:space="preserve"> - </v>
      </c>
      <c r="AG11" s="687"/>
      <c r="AH11" s="688"/>
      <c r="AI11" s="688"/>
      <c r="AJ11" s="688"/>
      <c r="AK11" s="671"/>
      <c r="AL11" s="682"/>
      <c r="AM11" s="689"/>
      <c r="AN11" s="689"/>
      <c r="AO11" s="690"/>
      <c r="AP11" s="692"/>
      <c r="AQ11" s="692"/>
      <c r="AR11" s="693"/>
      <c r="AS11" s="693"/>
      <c r="AT11" s="693"/>
      <c r="AU11" s="693"/>
      <c r="AV11" s="694"/>
      <c r="AW11" s="694"/>
      <c r="AX11" s="696"/>
      <c r="AY11" s="696"/>
      <c r="AZ11" s="696"/>
      <c r="BA11" s="696"/>
      <c r="BB11" s="697">
        <f>Datos!DU11</f>
        <v>0</v>
      </c>
      <c r="BC11" s="225"/>
      <c r="BD11" s="225"/>
      <c r="BE11" s="682"/>
      <c r="BF11" s="698"/>
      <c r="BG11" s="698"/>
      <c r="BH11" s="698"/>
      <c r="BI11" s="698"/>
      <c r="BJ11" s="698"/>
      <c r="BK11" s="698"/>
      <c r="BL11" s="698"/>
      <c r="BM11" s="698"/>
      <c r="BZ11" s="1185">
        <f>Datos!EZ11</f>
        <v>0</v>
      </c>
    </row>
    <row r="12" spans="1:78" ht="15.75" thickBot="1">
      <c r="A12" s="500">
        <f>Datos!AO12</f>
        <v>6</v>
      </c>
      <c r="B12" s="506" t="s">
        <v>246</v>
      </c>
      <c r="C12" s="7" t="str">
        <f>Datos!A12</f>
        <v xml:space="preserve">Jdos. 1ª Instª. e Instr./Secc. Civil y de Inst. TI                      </v>
      </c>
      <c r="D12" s="507"/>
      <c r="E12" s="681">
        <f>IF(ISNUMBER(Datos!AQ12),Datos!AQ12," - ")</f>
        <v>6</v>
      </c>
      <c r="F12" s="682" t="str">
        <f>IF(ISNUMBER(AF12+AB12-Datos!DC12),AF12+AB12-Datos!DC12," - ")</f>
        <v xml:space="preserve"> - </v>
      </c>
      <c r="G12" s="683" t="str">
        <f>IF(ISNUMBER(IF(J_V="SI",Datos!I12,Datos!I12+Datos!Y12)-IF(Monitorios="SI",Datos!CA12,0)),
                          IF(J_V="SI",Datos!I12,Datos!I12+Datos!Y12)-IF(Monitorios="SI",Datos!CA12,0),
                          " - ")</f>
        <v xml:space="preserve"> - </v>
      </c>
      <c r="H12" s="682" t="str">
        <f>IF(ISNUMBER(Datos!DC12),Datos!DC12," - ")</f>
        <v xml:space="preserve"> - </v>
      </c>
      <c r="I12" s="684" t="str">
        <f>IF(ISNUMBER(DatosP!DC16),DatosP!DC16," - ")</f>
        <v xml:space="preserve"> - </v>
      </c>
      <c r="J12" s="684">
        <f>IF(ISNUMBER(Datos!DF12),Datos!DF12,0)</f>
        <v>0</v>
      </c>
      <c r="K12" s="684">
        <f>IF(ISNUMBER(DatosP!DF16),DatosP!DF16,0)</f>
        <v>0</v>
      </c>
      <c r="L12" s="681"/>
      <c r="M12" s="681"/>
      <c r="N12" s="684">
        <f>IF(ISNUMBER(Datos!P12),Datos!P12,0)</f>
        <v>639</v>
      </c>
      <c r="O12" s="684">
        <f>IF(ISNUMBER(DatosP!P16),DatosP!P16,0)</f>
        <v>0</v>
      </c>
      <c r="P12" s="684" t="str">
        <f>IF(ISNUMBER(DatosP!DE16),DatosP!DE16," - ")</f>
        <v xml:space="preserve"> - </v>
      </c>
      <c r="Q12" s="685"/>
      <c r="R12" s="685"/>
      <c r="S12" s="684" t="str">
        <f>IF(ISNUMBER(Datos!AS12*(2500/380)+DatosP!AS16),Datos!AS12*(2500/380)+DatosP!AS16," - ")</f>
        <v xml:space="preserve"> - </v>
      </c>
      <c r="T12" s="684">
        <f>IF(ISNUMBER(DatosP!AS16/E12),DatosP!AS16/E12," - ")</f>
        <v>0</v>
      </c>
      <c r="U12" s="686" t="str">
        <f>IF(ISNUMBER(S12/((2*DatosP!BM16)/factor_trimestre)),S12/((2*DatosP!BM16)/factor_trimestre)," - ")</f>
        <v xml:space="preserve"> - </v>
      </c>
      <c r="V12" s="686" t="str">
        <f>IF(ISNUMBER(T12/(DatosP!BM16/factor_trimestre)),T12/(DatosP!BM16/factor_trimestre)," - ")</f>
        <v xml:space="preserve"> - </v>
      </c>
      <c r="W12" s="684" t="str">
        <f>IF(ISNUMBER(Datos!EO12*DatosP!ER16/Datos!ER12+DatosP!EO16),Datos!EO12*DatosP!ER16/Datos!ER12+DatosP!EO16," - ")</f>
        <v xml:space="preserve"> - </v>
      </c>
      <c r="X12" s="1017" t="str">
        <f>IF(ISNUMBER((W12/(2000))*factor_trimestre),(W12/(2000))*factor_trimestre," - ")</f>
        <v xml:space="preserve"> - </v>
      </c>
      <c r="Y12" s="783" t="str">
        <f>IF(ISNUMBER(Datos!CB12),Datos!CB12," - ")</f>
        <v xml:space="preserve"> - </v>
      </c>
      <c r="Z12" s="682">
        <f>IF(ISNUMBER(Datos!BY12+DatosP!BY16),Datos!BY12+DatosP!BY16," - ")</f>
        <v>0</v>
      </c>
      <c r="AA12" s="724">
        <f>IF(ISNUMBER((Z12*factor_trimestre)/((Datos!CN12+DatosP!CN16)/2)),(Z12*factor_trimestre)/((Datos!CN12+DatosP!CN16)/2),"-")</f>
        <v>0</v>
      </c>
      <c r="AB12" s="682" t="str">
        <f>IF(ISNUMBER(IF(J_V="SI",Datos!K12,Datos!K12+Datos!AA12)-IF(Monitorios="SI",Datos!CC12,0)),
                          IF(J_V="SI",Datos!K12,Datos!K12+Datos!AA12)-IF(Monitorios="SI",Datos!CC12,0),
                          " - ")</f>
        <v xml:space="preserve"> - </v>
      </c>
      <c r="AC12" s="682" t="str">
        <f>IF(ISNUMBER(IF(D_I="SI",DatosP!K16,DatosP!K16+DatosP!AE16)),IF(D_I="SI",DatosP!K16,DatosP!K16+DatosP!AE16)," - ")</f>
        <v xml:space="preserve"> - </v>
      </c>
      <c r="AD12" s="684">
        <f>IF(ISNUMBER(Datos!Q12),Datos!Q12," - ")</f>
        <v>232</v>
      </c>
      <c r="AE12" s="684" t="str">
        <f>IF(ISNUMBER(DatosP!Q16),DatosP!Q16," - ")</f>
        <v xml:space="preserve"> - </v>
      </c>
      <c r="AF12" s="687" t="str">
        <f>IF(ISNUMBER(IF(J_V="SI",Datos!L12,Datos!L12+Datos!AB12)-IF(Monitorios="SI",Datos!CD12,0)),
                          IF(J_V="SI",Datos!L12,Datos!L12+Datos!AB12)-IF(Monitorios="SI",Datos!CD12,0),
                          " - ")</f>
        <v xml:space="preserve"> - </v>
      </c>
      <c r="AG12" s="687" t="str">
        <f>IF(ISNUMBER(IF(D_I="SI",DatosP!L16,DatosP!L16+DatosP!AF16)),IF(D_I="SI",DatosP!L16,DatosP!L16+DatosP!AF16)," - ")</f>
        <v xml:space="preserve"> - </v>
      </c>
      <c r="AH12" s="688">
        <f>IF(ISNUMBER(Datos!R12),Datos!R12," - ")</f>
        <v>9056</v>
      </c>
      <c r="AI12" s="688" t="str">
        <f>IF(ISNUMBER(DatosP!R16),DatosP!R16," - ")</f>
        <v xml:space="preserve"> - </v>
      </c>
      <c r="AJ12" s="681">
        <f>IF(ISNUMBER(Datos!BV12+DatosP!BV16),Datos!BV12+DatosP!BV16," - ")</f>
        <v>0</v>
      </c>
      <c r="AK12" s="671" t="str">
        <f>IF(ISNUMBER(Datos!DV12),Datos!DV12," - ")</f>
        <v xml:space="preserve"> - </v>
      </c>
      <c r="AL12" s="682">
        <f>IF(ISNUMBER(Datos!M12+DatosP!M16),Datos!M12+DatosP!M16," - ")</f>
        <v>442</v>
      </c>
      <c r="AM12" s="689">
        <f>IF(ISNUMBER(Datos!N12+DatosP!N16),Datos!N12+DatosP!N16," - ")</f>
        <v>1295</v>
      </c>
      <c r="AN12" s="689">
        <f>IF(ISNUMBER(Datos!BW12+DatosP!BW16),Datos!BW12+DatosP!BW16," - ")</f>
        <v>0</v>
      </c>
      <c r="AO12" s="690">
        <f>IF(ISNUMBER(Datos!BX12+DatosP!BX16),Datos!BX12+DatosP!BX16," - ")</f>
        <v>0</v>
      </c>
      <c r="AP12" s="692">
        <f>IF(ISNUMBER(((IF(J_V="SI",Datos!L12/Datos!K12,(Datos!L12+Datos!AB12)/(Datos!K12+Datos!AA12)))*11)/factor_trimestre),((IF(J_V="SI",Datos!L12/Datos!K12,(Datos!L12+Datos!AB12)/(Datos!K12+Datos!AA12)))*11)/factor_trimestre," - ")</f>
        <v>7.1005847953216374</v>
      </c>
      <c r="AQ12" s="692" t="str">
        <f>IF(ISNUMBER(((IF(D_I="SI",DatosP!L16/DatosP!K16,(DatosP!L16+DatosP!AF16)/(DatosP!K16+DatosP!AE16)))*11)/factor_trimestre),((IF(D_I="SI",DatosP!L16/DatosP!K16,(DatosP!L16+DatosP!AF16)/(DatosP!K16+DatosP!AE16)))*11)/factor_trimestre," - ")</f>
        <v xml:space="preserve"> - </v>
      </c>
      <c r="AR12" s="693" t="str">
        <f>IF(ISNUMBER(Datos!CI12/Datos!CJ12),Datos!CI12/Datos!CJ12," - ")</f>
        <v xml:space="preserve"> - </v>
      </c>
      <c r="AS12" s="693" t="str">
        <f>IF(ISNUMBER(DatosP!CI16/DatosP!CJ16),DatosP!CI16/DatosP!CJ16," - ")</f>
        <v xml:space="preserve"> - </v>
      </c>
      <c r="AT12" s="693" t="str">
        <f>IF(ISNUMBER(((BC12-AB12+J12)/(F12-J12))),(BC12-AB12+J12)/(F12-J12)," - ")</f>
        <v xml:space="preserve"> - </v>
      </c>
      <c r="AU12" s="693" t="str">
        <f>IF(ISNUMBER((DatosP!DC16-DatosP!K16+DatosP!DF16)/(DatosP!L16+DatosP!K16-DatosP!J16-DatosP!DF16)),(DatosP!DC16-DatosP!K16+DatosP!DF16)/(DatosP!L16+DatosP!K16-DatosP!J16-DatosP!DF16)," - ")</f>
        <v xml:space="preserve"> - </v>
      </c>
      <c r="AV12" s="694">
        <f>IF(ISNUMBER((Datos!P12-Datos!Q12+Datos!DE12)/(Datos!R12-Datos!P12+Datos!Q12-Datos!DE12)),(Datos!P12-Datos!Q12+Datos!DE12)/(Datos!R12-Datos!P12+Datos!Q12-Datos!DE12)," - ")</f>
        <v>4.7057463290553818E-2</v>
      </c>
      <c r="AW12" s="694" t="str">
        <f>IF(ISNUMBER((DatosP!P16-DatosP!Q16+DatosP!DE16)/(DatosP!R16-DatosP!P16+DatosP!Q16-DatosP!DE16)),(DatosP!P16-DatosP!Q16+DatosP!DE16)/(DatosP!R16-DatosP!P16+DatosP!Q16-DatosP!DE16)," - ")</f>
        <v xml:space="preserve"> - </v>
      </c>
      <c r="AX12" s="696">
        <f>IF(ISNUMBER(Datos!EV12+DatosP!EV16),Datos!EV12+DatosP!EV16," - ")</f>
        <v>0</v>
      </c>
      <c r="AY12" s="696">
        <f>IF(ISNUMBER(Datos!CW12+DatosP!CW16),Datos!CW12+DatosP!CW16," - ")</f>
        <v>0</v>
      </c>
      <c r="AZ12" s="696">
        <f>Datos!CX12</f>
        <v>0</v>
      </c>
      <c r="BA12" s="696">
        <f>DatosP!CX16</f>
        <v>0</v>
      </c>
      <c r="BB12" s="697">
        <f>Datos!DU12</f>
        <v>0</v>
      </c>
      <c r="BC12" s="225" t="str">
        <f>IF(ISNUMBER(Datos!DC12),Datos!DC12," - ")</f>
        <v xml:space="preserve"> - </v>
      </c>
      <c r="BD12" s="225" t="str">
        <f>IF(ISNUMBER(DatosP!DC16),DatosP!DC16," - ")</f>
        <v xml:space="preserve"> - </v>
      </c>
      <c r="BE12" s="682" t="str">
        <f>IF(ISNUMBER(AG12+AC12-DatosP!J16),AG12+AC12-DatosP!J16," - ")</f>
        <v xml:space="preserve"> - </v>
      </c>
      <c r="BF12" s="698"/>
      <c r="BG12" s="698"/>
      <c r="BH12" s="698"/>
      <c r="BI12" s="698"/>
      <c r="BJ12" s="698"/>
      <c r="BK12" s="698"/>
      <c r="BL12" s="698"/>
      <c r="BM12" s="698"/>
      <c r="BZ12" s="1185">
        <f>Datos!EZ12</f>
        <v>0</v>
      </c>
    </row>
    <row r="13" spans="1:78" ht="15.75" thickTop="1" thickBot="1">
      <c r="A13" s="700"/>
      <c r="B13" s="700"/>
      <c r="C13" s="935" t="str">
        <f>Datos!A13</f>
        <v>TOTAL</v>
      </c>
      <c r="D13" s="936"/>
      <c r="E13" s="936">
        <f t="shared" ref="E13:V13" si="0">SUBTOTAL(9,E8:E12)</f>
        <v>6</v>
      </c>
      <c r="F13" s="937">
        <f t="shared" si="0"/>
        <v>98</v>
      </c>
      <c r="G13" s="937">
        <f t="shared" si="0"/>
        <v>98</v>
      </c>
      <c r="H13" s="937">
        <f t="shared" si="0"/>
        <v>0</v>
      </c>
      <c r="I13" s="939">
        <f t="shared" si="0"/>
        <v>0</v>
      </c>
      <c r="J13" s="938">
        <f t="shared" si="0"/>
        <v>0</v>
      </c>
      <c r="K13" s="938">
        <f t="shared" si="0"/>
        <v>0</v>
      </c>
      <c r="L13" s="940">
        <f t="shared" si="0"/>
        <v>0</v>
      </c>
      <c r="M13" s="940">
        <f t="shared" si="0"/>
        <v>0</v>
      </c>
      <c r="N13" s="938">
        <f t="shared" si="0"/>
        <v>648</v>
      </c>
      <c r="O13" s="938">
        <f t="shared" si="0"/>
        <v>0</v>
      </c>
      <c r="P13" s="938">
        <f t="shared" si="0"/>
        <v>0</v>
      </c>
      <c r="Q13" s="941">
        <f t="shared" si="0"/>
        <v>0</v>
      </c>
      <c r="R13" s="941">
        <f t="shared" si="0"/>
        <v>0</v>
      </c>
      <c r="S13" s="938">
        <f t="shared" si="0"/>
        <v>0</v>
      </c>
      <c r="T13" s="938">
        <f t="shared" si="0"/>
        <v>0</v>
      </c>
      <c r="U13" s="941">
        <f t="shared" si="0"/>
        <v>0</v>
      </c>
      <c r="V13" s="941">
        <f t="shared" si="0"/>
        <v>0</v>
      </c>
      <c r="W13" s="1014">
        <v>0</v>
      </c>
      <c r="X13" s="1019">
        <v>0</v>
      </c>
      <c r="Y13" s="940">
        <f>SUBTOTAL(9,Y8:Y12)</f>
        <v>0</v>
      </c>
      <c r="Z13" s="938">
        <f>SUBTOTAL(9,Z8:Z12)</f>
        <v>0</v>
      </c>
      <c r="AA13" s="942">
        <f>IF(ISNUMBER(AVERAGE(AA8:AA12)),AVERAGE(AA8:AA12),"-")</f>
        <v>0</v>
      </c>
      <c r="AB13" s="938">
        <f t="shared" ref="AB13:AO13" si="1">SUBTOTAL(9,AB8:AB12)</f>
        <v>12</v>
      </c>
      <c r="AC13" s="938">
        <f t="shared" si="1"/>
        <v>0</v>
      </c>
      <c r="AD13" s="938">
        <f t="shared" si="1"/>
        <v>232</v>
      </c>
      <c r="AE13" s="938">
        <f t="shared" si="1"/>
        <v>0</v>
      </c>
      <c r="AF13" s="938">
        <f t="shared" si="1"/>
        <v>97</v>
      </c>
      <c r="AG13" s="938">
        <f t="shared" si="1"/>
        <v>0</v>
      </c>
      <c r="AH13" s="938">
        <f t="shared" si="1"/>
        <v>9056</v>
      </c>
      <c r="AI13" s="938">
        <f t="shared" si="1"/>
        <v>0</v>
      </c>
      <c r="AJ13" s="938">
        <f t="shared" si="1"/>
        <v>0</v>
      </c>
      <c r="AK13" s="938">
        <f t="shared" si="1"/>
        <v>0</v>
      </c>
      <c r="AL13" s="938">
        <f t="shared" si="1"/>
        <v>450</v>
      </c>
      <c r="AM13" s="938">
        <f t="shared" si="1"/>
        <v>1299</v>
      </c>
      <c r="AN13" s="938">
        <f t="shared" si="1"/>
        <v>0</v>
      </c>
      <c r="AO13" s="938">
        <f t="shared" si="1"/>
        <v>0</v>
      </c>
      <c r="AP13" s="943">
        <f>IF(ISNUMBER(((Datos!L13/Datos!K13)*11)/factor_trimestre),((Datos!L13/Datos!K13)*11)/factor_trimestre," - ")</f>
        <v>7.5481450604418505</v>
      </c>
      <c r="AQ13" s="943" t="str">
        <f>IF(ISNUMBER(((DatosP!L13/DatosP!K13)*11)/factor_trimestre),((DatosP!L13/DatosP!K13)*11)/factor_trimestre," - ")</f>
        <v xml:space="preserve"> - </v>
      </c>
      <c r="AR13" s="938" t="str">
        <f>IF(ISNUMBER(Datos!CI13/Datos!CJ13),Datos!CI13/Datos!CJ13," - ")</f>
        <v xml:space="preserve"> - </v>
      </c>
      <c r="AS13" s="938" t="str">
        <f>IF(ISNUMBER(DatosP!CJ13/DatosP!CK13),DatosP!CJ13/DatosP!CK13," - ")</f>
        <v xml:space="preserve"> - </v>
      </c>
      <c r="AT13" s="938">
        <f>IF(OR(ISNUMBER(FIND("04",Criterios!A8,1))),(BC13-AB13+J13)/(F13-J13),(H13-AB13+J13)/(F13-J13))</f>
        <v>-0.12244897959183673</v>
      </c>
      <c r="AU13" s="938" t="str">
        <f>IF(ISNUMBER((DatosP!#REF!-DatosP!#REF!+DatosP!#REF!)/(DatosP!#REF!+DatosP!#REF!-DatosP!#REF!-DatosP!#REF!)),(DatosP!#REF!-DatosP!#REF!+DatosP!#REF!)/(DatosP!#REF!+DatosP!#REF!-DatosP!#REF!-DatosP!#REF!)," - ")</f>
        <v xml:space="preserve"> - </v>
      </c>
      <c r="AV13" s="944">
        <f>SUBTOTAL(9,AV9:AV12)</f>
        <v>4.7057463290553818E-2</v>
      </c>
      <c r="AW13" s="944">
        <f>SUBTOTAL(9,AW9:AW12)</f>
        <v>0</v>
      </c>
      <c r="AX13" s="938">
        <f>SUBTOTAL(9,AX8:AX12)</f>
        <v>0</v>
      </c>
      <c r="AY13" s="938">
        <f>SUBTOTAL(9,AY8:AY12)</f>
        <v>0</v>
      </c>
      <c r="AZ13" s="938"/>
      <c r="BA13" s="938"/>
      <c r="BB13" s="938"/>
      <c r="BC13" s="232">
        <f>SUBTOTAL(9,BC8:BC12)</f>
        <v>0</v>
      </c>
      <c r="BD13" s="232">
        <f>SUBTOTAL(9,BD8:BD12)</f>
        <v>0</v>
      </c>
      <c r="BE13" s="701">
        <f>SUBTOTAL(9,BE8:BE12)</f>
        <v>0</v>
      </c>
      <c r="BF13" s="702"/>
      <c r="BG13" s="702"/>
      <c r="BH13" s="702"/>
      <c r="BI13" s="702"/>
      <c r="BJ13" s="702"/>
      <c r="BK13" s="702"/>
      <c r="BL13" s="702"/>
      <c r="BM13" s="702"/>
      <c r="BZ13" s="1185"/>
    </row>
    <row r="14" spans="1:78" ht="15" thickTop="1">
      <c r="A14" s="509"/>
      <c r="B14" s="509"/>
      <c r="C14" s="285" t="str">
        <f>Datos!A14</f>
        <v xml:space="preserve">Jurisdicción Penal ( 2 ):                      </v>
      </c>
      <c r="D14" s="510"/>
      <c r="E14" s="703"/>
      <c r="F14" s="704"/>
      <c r="G14" s="704"/>
      <c r="H14" s="706"/>
      <c r="I14" s="664"/>
      <c r="J14" s="705"/>
      <c r="K14" s="705"/>
      <c r="L14" s="705"/>
      <c r="M14" s="705"/>
      <c r="N14" s="684"/>
      <c r="O14" s="684"/>
      <c r="P14" s="684"/>
      <c r="Q14" s="707"/>
      <c r="R14" s="707"/>
      <c r="S14" s="684"/>
      <c r="T14" s="684"/>
      <c r="U14" s="699"/>
      <c r="V14" s="699"/>
      <c r="W14" s="684"/>
      <c r="X14" s="1018"/>
      <c r="Y14" s="779"/>
      <c r="Z14" s="682"/>
      <c r="AA14" s="708"/>
      <c r="AB14" s="682"/>
      <c r="AC14" s="682"/>
      <c r="AD14" s="684"/>
      <c r="AE14" s="684"/>
      <c r="AF14" s="706"/>
      <c r="AG14" s="706"/>
      <c r="AH14" s="688"/>
      <c r="AI14" s="688"/>
      <c r="AJ14" s="681"/>
      <c r="AK14" s="671"/>
      <c r="AL14" s="682"/>
      <c r="AM14" s="689"/>
      <c r="AN14" s="689"/>
      <c r="AO14" s="690"/>
      <c r="AP14" s="692"/>
      <c r="AQ14" s="692"/>
      <c r="AR14" s="693"/>
      <c r="AS14" s="693"/>
      <c r="AT14" s="693"/>
      <c r="AU14" s="693"/>
      <c r="AV14" s="709"/>
      <c r="AW14" s="709"/>
      <c r="AX14" s="696"/>
      <c r="AY14" s="696"/>
      <c r="AZ14" s="696"/>
      <c r="BA14" s="696"/>
      <c r="BB14" s="697"/>
      <c r="BC14" s="216"/>
      <c r="BD14" s="216"/>
      <c r="BE14" s="704"/>
      <c r="BF14" s="711"/>
      <c r="BG14" s="711"/>
      <c r="BH14" s="711"/>
      <c r="BI14" s="711"/>
      <c r="BJ14" s="711"/>
      <c r="BK14" s="711"/>
      <c r="BL14" s="711"/>
      <c r="BM14" s="711"/>
      <c r="BZ14" s="1185">
        <f>Datos!EZ14</f>
        <v>0</v>
      </c>
    </row>
    <row r="15" spans="1:78" s="720" customFormat="1" ht="14.25">
      <c r="A15" s="592">
        <f>Datos!AO15</f>
        <v>0</v>
      </c>
      <c r="B15" s="593" t="s">
        <v>396</v>
      </c>
      <c r="C15" s="599" t="str">
        <f>Datos!A15</f>
        <v xml:space="preserve">Jdos. Instrucción                               </v>
      </c>
      <c r="D15" s="600"/>
      <c r="E15" s="712"/>
      <c r="F15" s="713"/>
      <c r="G15" s="714"/>
      <c r="H15" s="713"/>
      <c r="I15" s="684"/>
      <c r="J15" s="715"/>
      <c r="K15" s="715"/>
      <c r="L15" s="716"/>
      <c r="M15" s="716"/>
      <c r="N15" s="684"/>
      <c r="O15" s="684"/>
      <c r="P15" s="684"/>
      <c r="Q15" s="717"/>
      <c r="R15" s="717"/>
      <c r="S15" s="684"/>
      <c r="T15" s="684"/>
      <c r="U15" s="699"/>
      <c r="V15" s="699"/>
      <c r="W15" s="684"/>
      <c r="X15" s="1018"/>
      <c r="Y15" s="784"/>
      <c r="Z15" s="682"/>
      <c r="AA15" s="708"/>
      <c r="AB15" s="682"/>
      <c r="AC15" s="682"/>
      <c r="AD15" s="684"/>
      <c r="AE15" s="684"/>
      <c r="AF15" s="718"/>
      <c r="AG15" s="718"/>
      <c r="AH15" s="688"/>
      <c r="AI15" s="688"/>
      <c r="AJ15" s="681"/>
      <c r="AK15" s="671"/>
      <c r="AL15" s="682"/>
      <c r="AM15" s="689"/>
      <c r="AN15" s="689"/>
      <c r="AO15" s="690"/>
      <c r="AP15" s="692"/>
      <c r="AQ15" s="692"/>
      <c r="AR15" s="693"/>
      <c r="AS15" s="693"/>
      <c r="AT15" s="693"/>
      <c r="AU15" s="693"/>
      <c r="AV15" s="709"/>
      <c r="AW15" s="709"/>
      <c r="AX15" s="696"/>
      <c r="AY15" s="696"/>
      <c r="AZ15" s="696"/>
      <c r="BA15" s="696"/>
      <c r="BB15" s="697"/>
      <c r="BC15" s="225"/>
      <c r="BD15" s="225"/>
      <c r="BE15" s="713"/>
      <c r="BF15" s="721"/>
      <c r="BG15" s="721"/>
      <c r="BH15" s="721"/>
      <c r="BI15" s="721"/>
      <c r="BJ15" s="721"/>
      <c r="BK15" s="721"/>
      <c r="BL15" s="721"/>
      <c r="BM15" s="721"/>
      <c r="BZ15" s="1185">
        <f>Datos!EZ15</f>
        <v>0</v>
      </c>
    </row>
    <row r="16" spans="1:78" ht="15">
      <c r="A16" s="500">
        <f>Datos!AO16</f>
        <v>6</v>
      </c>
      <c r="B16" s="506" t="s">
        <v>396</v>
      </c>
      <c r="C16" s="159" t="str">
        <f>Datos!A16</f>
        <v xml:space="preserve">Jdos. 1ª Instª. e Instr./Secc. Civil y de Inst. TI                      </v>
      </c>
      <c r="D16" s="501"/>
      <c r="E16" s="696"/>
      <c r="F16" s="682"/>
      <c r="G16" s="683"/>
      <c r="H16" s="682"/>
      <c r="I16" s="684"/>
      <c r="J16" s="684"/>
      <c r="K16" s="684"/>
      <c r="L16" s="681"/>
      <c r="M16" s="681"/>
      <c r="N16" s="684"/>
      <c r="O16" s="684"/>
      <c r="P16" s="684"/>
      <c r="Q16" s="685"/>
      <c r="R16" s="685"/>
      <c r="S16" s="684" t="str">
        <f>IF(ISNUMBER(Datos!AS16*(2500/380)+DatosP!#REF!),Datos!AS16*(2500/380)+DatosP!#REF!," - ")</f>
        <v xml:space="preserve"> - </v>
      </c>
      <c r="T16" s="684"/>
      <c r="U16" s="686" t="str">
        <f>IF(ISNUMBER(S16/((Datos!BM16+DatosP!#REF!)/factor_trimestre)),S16/((Datos!BM16+DatosP!#REF!)/factor_trimestre)," - ")</f>
        <v xml:space="preserve"> - </v>
      </c>
      <c r="V16" s="686"/>
      <c r="W16" s="684"/>
      <c r="X16" s="1017"/>
      <c r="Y16" s="782"/>
      <c r="Z16" s="682"/>
      <c r="AA16" s="724"/>
      <c r="AB16" s="682"/>
      <c r="AC16" s="682"/>
      <c r="AD16" s="684"/>
      <c r="AE16" s="684"/>
      <c r="AF16" s="687"/>
      <c r="AG16" s="687"/>
      <c r="AH16" s="688"/>
      <c r="AI16" s="688"/>
      <c r="AJ16" s="681"/>
      <c r="AK16" s="671"/>
      <c r="AL16" s="682"/>
      <c r="AM16" s="689"/>
      <c r="AN16" s="689"/>
      <c r="AO16" s="690"/>
      <c r="AP16" s="692"/>
      <c r="AQ16" s="692"/>
      <c r="AR16" s="693"/>
      <c r="AS16" s="693"/>
      <c r="AT16" s="693"/>
      <c r="AU16" s="693"/>
      <c r="AV16" s="694"/>
      <c r="AW16" s="694"/>
      <c r="AX16" s="696"/>
      <c r="AY16" s="696"/>
      <c r="AZ16" s="696"/>
      <c r="BA16" s="696"/>
      <c r="BB16" s="697"/>
      <c r="BC16" s="225"/>
      <c r="BD16" s="225"/>
      <c r="BE16" s="682"/>
      <c r="BF16" s="698"/>
      <c r="BG16" s="698"/>
      <c r="BH16" s="698"/>
      <c r="BI16" s="698"/>
      <c r="BJ16" s="698"/>
      <c r="BK16" s="698"/>
      <c r="BL16" s="698"/>
      <c r="BM16" s="698"/>
      <c r="BZ16" s="1185">
        <f>Datos!EZ16</f>
        <v>0</v>
      </c>
    </row>
    <row r="17" spans="1:78" ht="15" thickBot="1">
      <c r="A17" s="500">
        <f>Datos!AO17</f>
        <v>1</v>
      </c>
      <c r="B17" s="506" t="s">
        <v>396</v>
      </c>
      <c r="C17" s="7" t="str">
        <f>Datos!A17</f>
        <v>Jdos. Violencia contra la mujer/Secc Viol. TI.</v>
      </c>
      <c r="D17" s="507"/>
      <c r="E17" s="696"/>
      <c r="F17" s="682"/>
      <c r="G17" s="683"/>
      <c r="H17" s="682"/>
      <c r="I17" s="684"/>
      <c r="J17" s="684"/>
      <c r="K17" s="684"/>
      <c r="L17" s="681"/>
      <c r="M17" s="681"/>
      <c r="N17" s="684"/>
      <c r="O17" s="684"/>
      <c r="P17" s="684"/>
      <c r="Q17" s="685"/>
      <c r="R17" s="685"/>
      <c r="S17" s="684"/>
      <c r="T17" s="684"/>
      <c r="U17" s="686"/>
      <c r="V17" s="686"/>
      <c r="W17" s="684"/>
      <c r="X17" s="1017"/>
      <c r="Y17" s="782"/>
      <c r="Z17" s="682"/>
      <c r="AA17" s="724"/>
      <c r="AB17" s="682"/>
      <c r="AC17" s="682"/>
      <c r="AD17" s="684"/>
      <c r="AE17" s="684"/>
      <c r="AF17" s="687"/>
      <c r="AG17" s="687"/>
      <c r="AH17" s="688"/>
      <c r="AI17" s="688"/>
      <c r="AJ17" s="681"/>
      <c r="AK17" s="671"/>
      <c r="AL17" s="682"/>
      <c r="AM17" s="689"/>
      <c r="AN17" s="689"/>
      <c r="AO17" s="690"/>
      <c r="AP17" s="692"/>
      <c r="AQ17" s="692"/>
      <c r="AR17" s="693"/>
      <c r="AS17" s="693"/>
      <c r="AT17" s="693"/>
      <c r="AU17" s="693"/>
      <c r="AV17" s="694"/>
      <c r="AW17" s="694"/>
      <c r="AX17" s="696"/>
      <c r="AY17" s="696"/>
      <c r="AZ17" s="696"/>
      <c r="BA17" s="696"/>
      <c r="BB17" s="697"/>
      <c r="BC17" s="225"/>
      <c r="BD17" s="225"/>
      <c r="BE17" s="682"/>
      <c r="BF17" s="698"/>
      <c r="BG17" s="698"/>
      <c r="BH17" s="698"/>
      <c r="BI17" s="698"/>
      <c r="BJ17" s="698"/>
      <c r="BK17" s="698"/>
      <c r="BL17" s="698"/>
      <c r="BM17" s="698"/>
      <c r="BZ17" s="1185">
        <f>Datos!EZ17</f>
        <v>0</v>
      </c>
    </row>
    <row r="18" spans="1:78" ht="15.75" thickTop="1" thickBot="1">
      <c r="A18" s="700"/>
      <c r="B18" s="700"/>
      <c r="C18" s="935" t="str">
        <f>Datos!A18</f>
        <v>TOTAL</v>
      </c>
      <c r="D18" s="936"/>
      <c r="E18" s="936">
        <f>SUBTOTAL(9,E15:E17)</f>
        <v>0</v>
      </c>
      <c r="F18" s="937">
        <f>SUBTOTAL(9,F15:F17)</f>
        <v>0</v>
      </c>
      <c r="G18" s="937">
        <f>SUBTOTAL(9,G15:G17)</f>
        <v>0</v>
      </c>
      <c r="H18" s="937">
        <f>SUBTOTAL(9,H15:H17)</f>
        <v>0</v>
      </c>
      <c r="I18" s="939">
        <f>SUBTOTAL(9,I14:I17)</f>
        <v>0</v>
      </c>
      <c r="J18" s="938">
        <f t="shared" ref="J18:V18" si="2">SUBTOTAL(9,J15:J17)</f>
        <v>0</v>
      </c>
      <c r="K18" s="938">
        <f t="shared" si="2"/>
        <v>0</v>
      </c>
      <c r="L18" s="940">
        <f t="shared" si="2"/>
        <v>0</v>
      </c>
      <c r="M18" s="940">
        <f t="shared" si="2"/>
        <v>0</v>
      </c>
      <c r="N18" s="938">
        <f t="shared" si="2"/>
        <v>0</v>
      </c>
      <c r="O18" s="938">
        <f t="shared" si="2"/>
        <v>0</v>
      </c>
      <c r="P18" s="938">
        <f t="shared" si="2"/>
        <v>0</v>
      </c>
      <c r="Q18" s="941">
        <f t="shared" si="2"/>
        <v>0</v>
      </c>
      <c r="R18" s="941">
        <f t="shared" si="2"/>
        <v>0</v>
      </c>
      <c r="S18" s="938">
        <f t="shared" si="2"/>
        <v>0</v>
      </c>
      <c r="T18" s="938">
        <f t="shared" si="2"/>
        <v>0</v>
      </c>
      <c r="U18" s="941">
        <f t="shared" si="2"/>
        <v>0</v>
      </c>
      <c r="V18" s="941">
        <f t="shared" si="2"/>
        <v>0</v>
      </c>
      <c r="W18" s="1014">
        <v>0</v>
      </c>
      <c r="X18" s="1019">
        <v>0</v>
      </c>
      <c r="Y18" s="940">
        <f>SUBTOTAL(9,Y15:Y17)</f>
        <v>0</v>
      </c>
      <c r="Z18" s="938">
        <f>SUBTOTAL(9,Z15:Z17)</f>
        <v>0</v>
      </c>
      <c r="AA18" s="942" t="str">
        <f>IF(ISNUMBER((Z18*factor_trimestre)/Datos!CN18),(Z18*factor_trimestre)/Datos!CN18,"-")</f>
        <v>-</v>
      </c>
      <c r="AB18" s="938">
        <f t="shared" ref="AB18:AO18" si="3">SUBTOTAL(9,AB15:AB17)</f>
        <v>0</v>
      </c>
      <c r="AC18" s="938">
        <f t="shared" si="3"/>
        <v>0</v>
      </c>
      <c r="AD18" s="938">
        <f t="shared" si="3"/>
        <v>0</v>
      </c>
      <c r="AE18" s="938">
        <f t="shared" si="3"/>
        <v>0</v>
      </c>
      <c r="AF18" s="938">
        <f t="shared" si="3"/>
        <v>0</v>
      </c>
      <c r="AG18" s="938">
        <f t="shared" si="3"/>
        <v>0</v>
      </c>
      <c r="AH18" s="938">
        <f t="shared" si="3"/>
        <v>0</v>
      </c>
      <c r="AI18" s="938">
        <f t="shared" si="3"/>
        <v>0</v>
      </c>
      <c r="AJ18" s="938">
        <f t="shared" si="3"/>
        <v>0</v>
      </c>
      <c r="AK18" s="938">
        <f t="shared" si="3"/>
        <v>0</v>
      </c>
      <c r="AL18" s="938">
        <f t="shared" si="3"/>
        <v>0</v>
      </c>
      <c r="AM18" s="938">
        <f t="shared" si="3"/>
        <v>0</v>
      </c>
      <c r="AN18" s="938">
        <f t="shared" si="3"/>
        <v>0</v>
      </c>
      <c r="AO18" s="938">
        <f t="shared" si="3"/>
        <v>0</v>
      </c>
      <c r="AP18" s="943">
        <f>IF(ISNUMBER(((Datos!L18/Datos!K18)*11)/factor_trimestre),((Datos!L18/Datos!K18)*11)/factor_trimestre," - ")</f>
        <v>6.0355450236966819</v>
      </c>
      <c r="AQ18" s="943">
        <f>IF(ISNUMBER(((Datos!M18/Datos!L18)*11)/factor_trimestre),((Datos!M18/Datos!L18)*11)/factor_trimestre," - ")</f>
        <v>0.24469964664310953</v>
      </c>
      <c r="AR18" s="938">
        <f>SUBTOTAL(9,AR15:AR17)</f>
        <v>0</v>
      </c>
      <c r="AS18" s="938">
        <f>SUBTOTAL(9,AS15:AS17)</f>
        <v>0</v>
      </c>
      <c r="AT18" s="944" t="str">
        <f>IF(ISNUMBER((H18-AB18+K18)/(F18-K18)),(H18-AB18+K18)/(F18-K18)," - ")</f>
        <v xml:space="preserve"> - </v>
      </c>
      <c r="AU18" s="944" t="str">
        <f>IF(ISNUMBER((I18-AC18+L18)/(G18-L18)),(I18-AC18+L18)/(G18-L18)," - ")</f>
        <v xml:space="preserve"> - </v>
      </c>
      <c r="AV18" s="945">
        <f>IF(ISNUMBER((Datos!P18-Datos!Q18)/(Datos!R18-Datos!P18+Datos!Q18)),(Datos!P18-Datos!Q18)/(Datos!R18-Datos!P18+Datos!Q18)," - ")</f>
        <v>8.771929824561403E-3</v>
      </c>
      <c r="AW18" s="945">
        <f>IF(ISNUMBER((Datos!Q18-Datos!R18)/(Datos!S18-Datos!Q18+Datos!R18)),(Datos!Q18-Datos!R18)/(Datos!S18-Datos!Q18+Datos!R18)," - ")</f>
        <v>-8.3919870059556034E-2</v>
      </c>
      <c r="AX18" s="938">
        <f>SUBTOTAL(9,AX15:AX17)</f>
        <v>0</v>
      </c>
      <c r="AY18" s="938">
        <f>SUBTOTAL(9,AY15:AY17)</f>
        <v>0</v>
      </c>
      <c r="AZ18" s="938"/>
      <c r="BA18" s="938"/>
      <c r="BB18" s="946"/>
      <c r="BC18" s="232">
        <f>SUBTOTAL(9,BC14:BC17)</f>
        <v>0</v>
      </c>
      <c r="BD18" s="232">
        <f>SUBTOTAL(9,BD14:BD17)</f>
        <v>0</v>
      </c>
      <c r="BE18" s="701">
        <f>SUBTOTAL(9,BE15:BE17)</f>
        <v>0</v>
      </c>
      <c r="BF18" s="702"/>
      <c r="BG18" s="702"/>
      <c r="BH18" s="702"/>
      <c r="BI18" s="702"/>
      <c r="BJ18" s="702"/>
      <c r="BK18" s="702"/>
      <c r="BL18" s="702"/>
      <c r="BM18" s="702"/>
      <c r="BZ18" s="1185"/>
    </row>
    <row r="19" spans="1:78" ht="18.75" customHeight="1" thickTop="1" thickBot="1">
      <c r="A19" s="727"/>
      <c r="B19" s="727"/>
      <c r="C19" s="948" t="str">
        <f>Datos!A19</f>
        <v>TOTAL JURISDICCIONES</v>
      </c>
      <c r="D19" s="948"/>
      <c r="E19" s="949">
        <f t="shared" ref="E19:T19" si="4">SUBTOTAL(9,E9:E18)</f>
        <v>6</v>
      </c>
      <c r="F19" s="950">
        <f t="shared" si="4"/>
        <v>98</v>
      </c>
      <c r="G19" s="950">
        <f t="shared" si="4"/>
        <v>98</v>
      </c>
      <c r="H19" s="950">
        <f t="shared" si="4"/>
        <v>0</v>
      </c>
      <c r="I19" s="951">
        <f t="shared" si="4"/>
        <v>0</v>
      </c>
      <c r="J19" s="952">
        <f t="shared" si="4"/>
        <v>0</v>
      </c>
      <c r="K19" s="952">
        <f t="shared" si="4"/>
        <v>0</v>
      </c>
      <c r="L19" s="952">
        <f t="shared" si="4"/>
        <v>0</v>
      </c>
      <c r="M19" s="952">
        <f t="shared" si="4"/>
        <v>0</v>
      </c>
      <c r="N19" s="951">
        <f t="shared" si="4"/>
        <v>648</v>
      </c>
      <c r="O19" s="951">
        <f t="shared" si="4"/>
        <v>0</v>
      </c>
      <c r="P19" s="951">
        <f t="shared" si="4"/>
        <v>0</v>
      </c>
      <c r="Q19" s="984">
        <f t="shared" si="4"/>
        <v>0</v>
      </c>
      <c r="R19" s="984">
        <f t="shared" si="4"/>
        <v>0</v>
      </c>
      <c r="S19" s="951">
        <f t="shared" si="4"/>
        <v>0</v>
      </c>
      <c r="T19" s="951">
        <f t="shared" si="4"/>
        <v>0</v>
      </c>
      <c r="U19" s="953">
        <f>IF(ISNUMBER(AVERAGE(U8:U18)),AVERAGE(U8:U18),"-")</f>
        <v>0</v>
      </c>
      <c r="V19" s="953">
        <f>IF(ISNUMBER(AVERAGE(V8:V18)),AVERAGE(V8:V18),"-")</f>
        <v>0</v>
      </c>
      <c r="W19" s="951">
        <f>SUBTOTAL(9,W9:W18)</f>
        <v>0</v>
      </c>
      <c r="X19" s="953">
        <f>IF(ISNUMBER(AVERAGE(X8:X18)),AVERAGE(X8:X18),"-")</f>
        <v>0</v>
      </c>
      <c r="Y19" s="985">
        <f>SUBTOTAL(9,Y9:Y18)</f>
        <v>0</v>
      </c>
      <c r="Z19" s="954">
        <f>SUBTOTAL(9,Z9:Z18)</f>
        <v>0</v>
      </c>
      <c r="AA19" s="955">
        <f>IF(ISNUMBER(AVERAGE(AA8:AA18)),AVERAGE(AA8:AA18),"-")</f>
        <v>0</v>
      </c>
      <c r="AB19" s="956">
        <f t="shared" ref="AB19:AO19" si="5">SUBTOTAL(9,AB9:AB18)</f>
        <v>12</v>
      </c>
      <c r="AC19" s="956">
        <f t="shared" si="5"/>
        <v>0</v>
      </c>
      <c r="AD19" s="956">
        <f t="shared" si="5"/>
        <v>232</v>
      </c>
      <c r="AE19" s="956">
        <f t="shared" si="5"/>
        <v>0</v>
      </c>
      <c r="AF19" s="957">
        <f t="shared" si="5"/>
        <v>97</v>
      </c>
      <c r="AG19" s="957">
        <f t="shared" si="5"/>
        <v>0</v>
      </c>
      <c r="AH19" s="957">
        <f t="shared" si="5"/>
        <v>9056</v>
      </c>
      <c r="AI19" s="957">
        <f t="shared" si="5"/>
        <v>0</v>
      </c>
      <c r="AJ19" s="958">
        <f t="shared" si="5"/>
        <v>0</v>
      </c>
      <c r="AK19" s="958">
        <f t="shared" si="5"/>
        <v>0</v>
      </c>
      <c r="AL19" s="950">
        <f t="shared" si="5"/>
        <v>450</v>
      </c>
      <c r="AM19" s="950">
        <f t="shared" si="5"/>
        <v>1299</v>
      </c>
      <c r="AN19" s="950">
        <f t="shared" si="5"/>
        <v>0</v>
      </c>
      <c r="AO19" s="950">
        <f t="shared" si="5"/>
        <v>0</v>
      </c>
      <c r="AP19" s="950">
        <f>IF(ISNUMBER(((Datos!L19/Datos!K19)*11)/factor_trimestre),((Datos!L19/Datos!K19)*11)/factor_trimestre," - ")</f>
        <v>6.9234157083435282</v>
      </c>
      <c r="AQ19" s="950" t="str">
        <f>IF(ISNUMBER(((DatosP!L19/DatosP!K19)*11)/factor_trimestre),((DatosP!L19/DatosP!K19)*11)/factor_trimestre," - ")</f>
        <v xml:space="preserve"> - </v>
      </c>
      <c r="AR19" s="961" t="str">
        <f>IF(ISNUMBER(Datos!CI19/Datos!CJ19),Datos!CI19/Datos!CJ19," - ")</f>
        <v xml:space="preserve"> - </v>
      </c>
      <c r="AS19" s="961" t="str">
        <f>IF(ISNUMBER(DatosP!CI19/DatosP!CJ19),DatosP!CI19/DatosP!CJ19," - ")</f>
        <v xml:space="preserve"> - </v>
      </c>
      <c r="AT19" s="962">
        <f>IF(OR(ISNUMBER(FIND("04",Criterios!A8,1))),(BC19-AB19+J19)/(F19-J19),(H19-AB19+J19)/(F19-J19))</f>
        <v>-0.12244897959183673</v>
      </c>
      <c r="AU19" s="962" t="e">
        <f>IF(ISNUMBER(FIND("04",Criterios!A8,1)),(DatosP!DC19-DatosP!K19+DatosP!DF19)/(DatosP!L19+DatosP!K19-DatosP!J19-DatosP!DF19),(DatosP!DB19-DatosP!K19+DatosP!DF19)/(DatosP!L19+DatosP!K19-DatosP!J19-DatosP!DF19))</f>
        <v>#DIV/0!</v>
      </c>
      <c r="AV19" s="963">
        <f>IF(ISNUMBER((Datos!P19-Datos!Q19+Datos!DE19)/(Datos!R19-Datos!P19+Datos!Q19-Datos!DE19)),(Datos!P19-Datos!Q19+Datos!DE19)/(Datos!R19-Datos!P19+Datos!Q19-Datos!DE19)," - ")</f>
        <v>4.6187845303867402E-2</v>
      </c>
      <c r="AW19" s="963" t="str">
        <f>IF(ISNUMBER((DatosP!P19-DatosP!Q19+DatosP!DE19)/(DatosP!R19-DatosP!P19+DatosP!Q19-DatosP!DE19)),(DatosP!P19-DatosP!Q19+DatosP!DE19)/(DatosP!R19-DatosP!P19+DatosP!Q19-DatosP!DE19)," - ")</f>
        <v xml:space="preserve"> - </v>
      </c>
      <c r="AX19" s="965">
        <f>SUBTOTAL(9,AX9:AX18)</f>
        <v>0</v>
      </c>
      <c r="AY19" s="965">
        <f>SUBTOTAL(9,AY9:AY18)</f>
        <v>0</v>
      </c>
      <c r="AZ19" s="966"/>
      <c r="BA19" s="966"/>
      <c r="BB19" s="967"/>
      <c r="BC19" s="283">
        <f>SUBTOTAL(9,BC9:BC18)</f>
        <v>0</v>
      </c>
      <c r="BD19" s="283">
        <f>SUBTOTAL(9,BD9:BD18)</f>
        <v>0</v>
      </c>
      <c r="BE19" s="728">
        <f>SUBTOTAL(9,BE9:BE18)</f>
        <v>0</v>
      </c>
      <c r="BF19" s="730"/>
      <c r="BG19" s="730"/>
      <c r="BH19" s="730"/>
      <c r="BI19" s="730"/>
      <c r="BJ19" s="730"/>
      <c r="BK19" s="730"/>
      <c r="BL19" s="730"/>
      <c r="BM19" s="730"/>
    </row>
    <row r="20" spans="1:78" ht="18.75" customHeight="1" thickTop="1" thickBot="1">
      <c r="A20" s="731"/>
      <c r="B20" s="731"/>
      <c r="C20" s="968" t="s">
        <v>264</v>
      </c>
      <c r="D20" s="969"/>
      <c r="E20" s="969">
        <f ca="1">IF(ISNUMBER(SUMIF($B8:$B18,$B20,E8:E18)/INDIRECT("Datos!AP"&amp;ROW()-1)),SUMIF($B8:$B18,$B20,E8:E18)/INDIRECT("Datos!AP"&amp;ROW()-1),"-")</f>
        <v>0</v>
      </c>
      <c r="F20" s="960">
        <f ca="1">IF(ISNUMBER(SUMIF($B8:$B18,$B20,F8:F18)/INDIRECT("Datos!AP"&amp;ROW()-1)),SUMIF($B8:$B18,$B20,F8:F18)/INDIRECT("Datos!AP"&amp;ROW()-1),"-")</f>
        <v>0</v>
      </c>
      <c r="G20" s="970">
        <f>IF(ISNUMBER(AVERAGE(G8:G18)),AVERAGE(G8:G18),"-")</f>
        <v>65.333333333333329</v>
      </c>
      <c r="H20" s="960">
        <f t="shared" ref="H20:S20" ca="1" si="6">IF(ISNUMBER(SUMIF($B8:$B18,$B20,H8:H18)/INDIRECT("Datos!AP"&amp;ROW()-1)),SUMIF($B8:$B18,$B20,H8:H18)/INDIRECT("Datos!AP"&amp;ROW()-1),"-")</f>
        <v>0</v>
      </c>
      <c r="I20" s="971">
        <f t="shared" ca="1" si="6"/>
        <v>0</v>
      </c>
      <c r="J20" s="971">
        <f t="shared" ca="1" si="6"/>
        <v>0</v>
      </c>
      <c r="K20" s="971">
        <f t="shared" ca="1" si="6"/>
        <v>0</v>
      </c>
      <c r="L20" s="971">
        <f t="shared" ca="1" si="6"/>
        <v>0</v>
      </c>
      <c r="M20" s="971">
        <f t="shared" ca="1" si="6"/>
        <v>0</v>
      </c>
      <c r="N20" s="971">
        <f t="shared" ca="1" si="6"/>
        <v>0</v>
      </c>
      <c r="O20" s="971">
        <f t="shared" ca="1" si="6"/>
        <v>0</v>
      </c>
      <c r="P20" s="971">
        <f t="shared" ca="1" si="6"/>
        <v>0</v>
      </c>
      <c r="Q20" s="972">
        <f t="shared" ca="1" si="6"/>
        <v>0</v>
      </c>
      <c r="R20" s="972">
        <f t="shared" ca="1" si="6"/>
        <v>0</v>
      </c>
      <c r="S20" s="971">
        <f t="shared" ca="1" si="6"/>
        <v>0</v>
      </c>
      <c r="T20" s="971" t="str">
        <f ca="1">IF(ISNUMBER(SUMIF($B8:$B18,$B20,T8:T18)/INDIRECT("DatosP!AP"&amp;ROW()-1)),SUMIF($B8:$B18,$B20,T8:T18)/INDIRECT("DatosP!AP"&amp;ROW()-1),"-")</f>
        <v>-</v>
      </c>
      <c r="U20" s="973">
        <f ca="1">IF(ISNUMBER(SUMIF($B8:$B18,$B20,U8:U18)/INDIRECT("Datos!AP"&amp;ROW()-1)),SUMIF($B8:$B18,$B20,U8:U18)/INDIRECT("Datos!AP"&amp;ROW()-1),"-")</f>
        <v>0</v>
      </c>
      <c r="V20" s="973">
        <f ca="1">IF(ISNUMBER(SUMIF($B8:$B18,$B20,V8:V18)/INDIRECT("Datos!AP"&amp;ROW()-1)),SUMIF($B8:$B18,$B20,V8:V18)/INDIRECT("Datos!AP"&amp;ROW()-1),"-")</f>
        <v>0</v>
      </c>
      <c r="W20" s="971" t="str">
        <f ca="1">IF(ISNUMBER(SUMIF($B8:$B18,$B20,W8:W18)/INDIRECT("DatosP!AP"&amp;ROW()-1)),SUMIF($B8:$B18,$B20,W8:W18)/INDIRECT("DatosP!AP"&amp;ROW()-1),"-")</f>
        <v>-</v>
      </c>
      <c r="X20" s="973">
        <f t="shared" ref="X20:AP20" ca="1" si="7">IF(ISNUMBER(SUMIF($B8:$B18,$B20,X8:X18)/INDIRECT("Datos!AP"&amp;ROW()-1)),SUMIF($B8:$B18,$B20,X8:X18)/INDIRECT("Datos!AP"&amp;ROW()-1),"-")</f>
        <v>0</v>
      </c>
      <c r="Y20" s="986">
        <f t="shared" ca="1" si="7"/>
        <v>0</v>
      </c>
      <c r="Z20" s="974">
        <f t="shared" ca="1" si="7"/>
        <v>0</v>
      </c>
      <c r="AA20" s="975">
        <f t="shared" ca="1" si="7"/>
        <v>0</v>
      </c>
      <c r="AB20" s="976">
        <f t="shared" ca="1" si="7"/>
        <v>0</v>
      </c>
      <c r="AC20" s="976">
        <f t="shared" ca="1" si="7"/>
        <v>0</v>
      </c>
      <c r="AD20" s="976">
        <f t="shared" ca="1" si="7"/>
        <v>0</v>
      </c>
      <c r="AE20" s="976">
        <f t="shared" ca="1" si="7"/>
        <v>0</v>
      </c>
      <c r="AF20" s="976">
        <f t="shared" ca="1" si="7"/>
        <v>0</v>
      </c>
      <c r="AG20" s="976">
        <f t="shared" ca="1" si="7"/>
        <v>0</v>
      </c>
      <c r="AH20" s="976">
        <f t="shared" ca="1" si="7"/>
        <v>0</v>
      </c>
      <c r="AI20" s="976">
        <f t="shared" ca="1" si="7"/>
        <v>0</v>
      </c>
      <c r="AJ20" s="971">
        <f t="shared" ca="1" si="7"/>
        <v>0</v>
      </c>
      <c r="AK20" s="978">
        <f t="shared" ca="1" si="7"/>
        <v>0</v>
      </c>
      <c r="AL20" s="960">
        <f t="shared" ca="1" si="7"/>
        <v>0</v>
      </c>
      <c r="AM20" s="960">
        <f t="shared" ca="1" si="7"/>
        <v>0</v>
      </c>
      <c r="AN20" s="960">
        <f t="shared" ca="1" si="7"/>
        <v>0</v>
      </c>
      <c r="AO20" s="971">
        <f t="shared" ca="1" si="7"/>
        <v>0</v>
      </c>
      <c r="AP20" s="971">
        <f t="shared" ca="1" si="7"/>
        <v>0</v>
      </c>
      <c r="AQ20" s="971" t="str">
        <f ca="1">IF(ISNUMBER(SUMIF($B8:$B18,$B20,AQ8:AQ18)/INDIRECT("DatosP!AP"&amp;ROW()-1)),SUMIF($B8:$B18,$B20,AQ8:AQ18)/INDIRECT("DatosP!AP"&amp;ROW()-1),"-")</f>
        <v>-</v>
      </c>
      <c r="AR20" s="979" t="e">
        <f ca="1">INDIRECT("Datos!CI"&amp;ROW()-1)/INDIRECT("Datos!CJ"&amp;ROW()-1)</f>
        <v>#DIV/0!</v>
      </c>
      <c r="AS20" s="979" t="e">
        <f ca="1">INDIRECT("DatosP!CI"&amp;ROW()-1)/INDIRECT("DatosP!CJ"&amp;ROW()-1)</f>
        <v>#DIV/0!</v>
      </c>
      <c r="AT20" s="962" t="e">
        <f ca="1">IF(OR(ISNUMBER(FIND("04",Criterios!A8,1))),(BC20-AB20+J20)/(F20-J20),(H20-AB20+J20)/(F20-J20))</f>
        <v>#DIV/0!</v>
      </c>
      <c r="AU20" s="962" t="str">
        <f ca="1">(INDIRECT("AW"&amp;ROW()-1))</f>
        <v xml:space="preserve"> - </v>
      </c>
      <c r="AV20" s="980">
        <f ca="1">IF(ISNUMBER(SUMIF($B8:$B18,$B20,AV8:AV18)/INDIRECT("Datos!AP"&amp;ROW()-1)),SUMIF($B8:$B18,$B20,AV8:AV18)/INDIRECT("Datos!AP"&amp;ROW()-1),"-")</f>
        <v>0</v>
      </c>
      <c r="AW20" s="980">
        <f ca="1">IF(ISNUMBER(SUMIF($B8:$B18,$B20,AW8:AW18)/INDIRECT("Datos!AP"&amp;ROW()-1)),SUMIF($B8:$B18,$B20,AW8:AW18)/INDIRECT("Datos!AP"&amp;ROW()-1),"-")</f>
        <v>0</v>
      </c>
      <c r="AX20" s="982">
        <f ca="1">IF(ISNUMBER(SUMIF($B8:$B18,$B20,AX8:AX18)/INDIRECT("Datos!AP"&amp;ROW()-1)),SUMIF($B8:$B18,$B20,AX8:AX18)/INDIRECT("Datos!AP"&amp;ROW()-1),"-")</f>
        <v>0</v>
      </c>
      <c r="AY20" s="982">
        <f ca="1">IF(ISNUMBER(SUMIF($B8:$B18,$B20,AY8:AY18)/INDIRECT("Datos!AP"&amp;ROW()-1)),SUMIF($B8:$B18,$B20,AY8:AY18)/INDIRECT("Datos!AP"&amp;ROW()-1),"-")</f>
        <v>0</v>
      </c>
      <c r="AZ20" s="982"/>
      <c r="BA20" s="982"/>
      <c r="BB20" s="983"/>
      <c r="BC20" s="247">
        <f ca="1">IF(ISNUMBER(SUMIF($B8:$B18,$B20,BC8:BC18)/INDIRECT("Datos!AP"&amp;ROW()-1)),SUMIF($B8:$B18,$B20,BC8:BC18)/INDIRECT("Datos!AP"&amp;ROW()-1),"-")</f>
        <v>0</v>
      </c>
      <c r="BD20" s="247">
        <f ca="1">IF(ISNUMBER(SUMIF($B8:$B18,$B20,BD8:BD18)/INDIRECT("Datos!AP"&amp;ROW()-1)),SUMIF($B8:$B18,$B20,BD8:BD18)/INDIRECT("Datos!AP"&amp;ROW()-1),"-")</f>
        <v>0</v>
      </c>
      <c r="BE20" s="729">
        <f ca="1">IF(ISNUMBER(SUMIF($B8:$B18,$B20,BE8:BE18)/INDIRECT("Datos!AP"&amp;ROW()-1)),SUMIF($B8:$B18,$B20,BE8:BE18)/INDIRECT("Datos!AP"&amp;ROW()-1),"-")</f>
        <v>0</v>
      </c>
    </row>
    <row r="21" spans="1:78" ht="18.75" hidden="1" customHeight="1">
      <c r="A21" s="732"/>
      <c r="B21" s="732"/>
      <c r="C21" s="732" t="s">
        <v>265</v>
      </c>
      <c r="D21" s="733"/>
      <c r="E21" s="734">
        <f>IF(ISNUMBER(STDEV(E8:E18)),STDEV(E8:E18),"-")</f>
        <v>3.0983866769659336</v>
      </c>
      <c r="F21" s="735">
        <f>IF(ISNUMBER(STDEV(F8:F18)),STDEV(F8:F18),"-")</f>
        <v>56.580326380583323</v>
      </c>
      <c r="G21" s="736">
        <f>IF(ISNUMBER(STDEV(G8:G18)),STDEV(G8:G18),"-")</f>
        <v>56.580326380583323</v>
      </c>
      <c r="H21" s="735">
        <f>IF(ISNUMBER(STDEV(H8:H18)),STDEV(H8:H18),"-")</f>
        <v>0</v>
      </c>
      <c r="I21" s="738">
        <f>IF(ISNUMBER(STDEV(I8:I18)),STDEV(I8:I18),"-")</f>
        <v>0</v>
      </c>
      <c r="J21" s="737"/>
      <c r="K21" s="737"/>
      <c r="L21" s="737"/>
      <c r="M21" s="737"/>
      <c r="N21" s="737"/>
      <c r="O21" s="737"/>
      <c r="P21" s="737"/>
      <c r="Q21" s="739"/>
      <c r="R21" s="739"/>
      <c r="S21" s="737"/>
      <c r="T21" s="737"/>
      <c r="U21" s="739"/>
      <c r="V21" s="739"/>
      <c r="W21" s="737"/>
      <c r="X21" s="1020"/>
      <c r="Y21" s="785"/>
      <c r="Z21" s="735">
        <f>IF(ISNUMBER(STDEV(Z8:Z18)),STDEV(Z8:Z18),"-")</f>
        <v>0</v>
      </c>
      <c r="AA21" s="739">
        <f>IF(ISNUMBER(STDEV(AA8:AA18)),STDEV(AA8:AA18),"-")</f>
        <v>0</v>
      </c>
      <c r="AB21" s="737">
        <f>IF(ISNUMBER(STDEV(AB8:AB18)),STDEV(AB8:AB18),"-")</f>
        <v>6.9282032302755088</v>
      </c>
      <c r="AC21" s="737">
        <f>IF(ISNUMBER(STDEV(AC8:AC18)),STDEV(AC8:AC18),"-")</f>
        <v>0</v>
      </c>
      <c r="AD21" s="740"/>
      <c r="AE21" s="740"/>
      <c r="AF21" s="740"/>
      <c r="AG21" s="740"/>
      <c r="AH21" s="740"/>
      <c r="AI21" s="740"/>
      <c r="AJ21" s="741">
        <f>IF(ISNUMBER(STDEV(AJ8:AJ18)),STDEV(AJ8:AJ18),"-")</f>
        <v>0</v>
      </c>
      <c r="AK21" s="743"/>
      <c r="AL21" s="735">
        <f>IF(ISNUMBER(STDEV(AL8:AL18)),STDEV(AL8:AL18),"-")</f>
        <v>255.23061467360586</v>
      </c>
      <c r="AM21" s="735"/>
      <c r="AN21" s="735">
        <f>IF(ISNUMBER(STDEV(AN8:AN18)),STDEV(AN8:AN18),"-")</f>
        <v>0</v>
      </c>
      <c r="AO21" s="741">
        <f>IF(ISNUMBER(STDEV(AO8:AO18)),STDEV(AO8:AO18),"-")</f>
        <v>0</v>
      </c>
      <c r="AP21" s="778">
        <f>IF(ISNUMBER(STDEV(AP8:AP18)),STDEV(AP8:AP18),"-")</f>
        <v>8.7007822883227792</v>
      </c>
      <c r="AQ21" s="778" t="str">
        <f>IF(ISNUMBER(STDEV(AQ8:AQ18)),STDEV(AQ8:AQ18),"-")</f>
        <v>-</v>
      </c>
      <c r="AR21" s="693" t="str">
        <f>IF(ISNUMBER(AT21/AV21),AT21/AV21," - ")</f>
        <v xml:space="preserve"> - </v>
      </c>
      <c r="AS21" s="693" t="str">
        <f>IF(ISNUMBER(AV21/#REF!),AV21/#REF!," - ")</f>
        <v xml:space="preserve"> - </v>
      </c>
      <c r="AT21" s="745" t="str">
        <f>IF(ISNUMBER(STDEV(AT8:AT18)),STDEV(AT8:AT18),"-")</f>
        <v>-</v>
      </c>
      <c r="AU21" s="745" t="str">
        <f>IF(ISNUMBER(STDEV(AU8:AU18)),STDEV(AU8:AU18),"-")</f>
        <v>-</v>
      </c>
      <c r="AV21" s="746"/>
      <c r="AW21" s="746"/>
      <c r="AX21" s="748">
        <f t="shared" ref="AX21:BE21" si="8">IF(ISNUMBER(STDEV(AX8:AX18)),STDEV(AX8:AX18),"-")</f>
        <v>0</v>
      </c>
      <c r="AY21" s="748">
        <f t="shared" si="8"/>
        <v>0</v>
      </c>
      <c r="AZ21" s="749">
        <f t="shared" si="8"/>
        <v>0</v>
      </c>
      <c r="BA21" s="749">
        <f t="shared" si="8"/>
        <v>0</v>
      </c>
      <c r="BB21" s="750">
        <f t="shared" si="8"/>
        <v>0</v>
      </c>
      <c r="BC21" s="253">
        <f t="shared" si="8"/>
        <v>0</v>
      </c>
      <c r="BD21" s="253">
        <f t="shared" si="8"/>
        <v>0</v>
      </c>
      <c r="BE21" s="735">
        <f t="shared" si="8"/>
        <v>0</v>
      </c>
    </row>
    <row r="22" spans="1:78" ht="12" customHeight="1" thickTop="1">
      <c r="C22" s="71"/>
      <c r="D22" s="71"/>
      <c r="F22" s="751"/>
      <c r="G22" s="751"/>
      <c r="H22" s="751"/>
      <c r="J22" s="751"/>
      <c r="K22" s="751"/>
      <c r="L22" s="752"/>
      <c r="M22" s="752"/>
      <c r="N22" s="751"/>
      <c r="O22" s="751"/>
      <c r="P22" s="751"/>
      <c r="Q22" s="753"/>
      <c r="R22" s="753"/>
      <c r="S22" s="751"/>
      <c r="T22" s="751"/>
      <c r="U22" s="753"/>
      <c r="V22" s="753"/>
      <c r="W22" s="751"/>
      <c r="X22" s="1021"/>
      <c r="Y22" s="786"/>
      <c r="Z22" s="751"/>
      <c r="AA22" s="753"/>
      <c r="AB22" s="751"/>
      <c r="AC22" s="751"/>
      <c r="AD22" s="751"/>
      <c r="AE22" s="751"/>
      <c r="AF22" s="751"/>
      <c r="AG22" s="751"/>
      <c r="AH22" s="751"/>
      <c r="AI22" s="751"/>
      <c r="AJ22" s="751"/>
      <c r="AK22" s="751"/>
      <c r="AL22" s="751"/>
      <c r="AM22" s="751"/>
      <c r="AN22" s="751"/>
      <c r="AO22" s="751"/>
      <c r="AP22" s="751"/>
      <c r="AQ22" s="751"/>
      <c r="AR22" s="753"/>
      <c r="AS22" s="753"/>
      <c r="AT22" s="751" t="s">
        <v>424</v>
      </c>
      <c r="AU22" s="751" t="s">
        <v>424</v>
      </c>
      <c r="AV22" s="754"/>
      <c r="AW22" s="754"/>
      <c r="AX22" s="751"/>
      <c r="AY22" s="751"/>
      <c r="AZ22" s="756"/>
      <c r="BA22" s="756"/>
      <c r="BB22" s="751"/>
      <c r="BE22" s="751"/>
    </row>
    <row r="23" spans="1:78" ht="14.25">
      <c r="C23" s="159"/>
      <c r="D23" s="517"/>
      <c r="E23" s="757"/>
      <c r="F23" s="758"/>
      <c r="G23" s="689"/>
      <c r="H23" s="759"/>
      <c r="I23" s="760"/>
      <c r="J23" s="759"/>
      <c r="K23" s="759"/>
      <c r="L23" s="725"/>
      <c r="M23" s="725"/>
      <c r="N23" s="759"/>
      <c r="O23" s="759"/>
      <c r="P23" s="759"/>
      <c r="Q23" s="685"/>
      <c r="R23" s="685"/>
      <c r="S23" s="759"/>
      <c r="T23" s="759"/>
      <c r="U23" s="685"/>
      <c r="V23" s="685"/>
      <c r="W23" s="759"/>
      <c r="X23" s="1018"/>
      <c r="Y23" s="681"/>
      <c r="Z23" s="725"/>
      <c r="AA23" s="685"/>
      <c r="AB23" s="759"/>
      <c r="AC23" s="759"/>
      <c r="AD23" s="761"/>
      <c r="AE23" s="761"/>
      <c r="AF23" s="671"/>
      <c r="AG23" s="671"/>
      <c r="AH23" s="761"/>
      <c r="AI23" s="761"/>
      <c r="AJ23" s="759"/>
      <c r="AK23" s="759"/>
      <c r="AL23" s="759"/>
      <c r="AM23" s="759"/>
      <c r="AN23" s="759"/>
      <c r="AO23" s="759"/>
      <c r="AP23" s="759"/>
      <c r="AQ23" s="759"/>
      <c r="AR23" s="685"/>
      <c r="AS23" s="685"/>
      <c r="AT23" s="685"/>
      <c r="AU23" s="685"/>
      <c r="AV23" s="699"/>
      <c r="AW23" s="699"/>
      <c r="AX23" s="759"/>
      <c r="AY23" s="759"/>
      <c r="AZ23" s="763"/>
      <c r="BA23" s="763"/>
      <c r="BB23" s="763"/>
      <c r="BC23" s="143"/>
      <c r="BD23" s="143"/>
      <c r="BE23" s="758"/>
    </row>
    <row r="24" spans="1:78" ht="14.25">
      <c r="C24" s="7"/>
      <c r="D24" s="520"/>
      <c r="E24" s="757"/>
      <c r="F24" s="758"/>
      <c r="G24" s="689"/>
      <c r="H24" s="759"/>
      <c r="I24" s="760"/>
      <c r="J24" s="759"/>
      <c r="K24" s="759"/>
      <c r="L24" s="725"/>
      <c r="M24" s="725"/>
      <c r="N24" s="759"/>
      <c r="O24" s="759"/>
      <c r="P24" s="759"/>
      <c r="Q24" s="685"/>
      <c r="R24" s="685"/>
      <c r="S24" s="759"/>
      <c r="T24" s="759"/>
      <c r="U24" s="685"/>
      <c r="V24" s="685"/>
      <c r="W24" s="759"/>
      <c r="X24" s="1018"/>
      <c r="Y24" s="681"/>
      <c r="Z24" s="725"/>
      <c r="AA24" s="685"/>
      <c r="AB24" s="759"/>
      <c r="AC24" s="759"/>
      <c r="AD24" s="761"/>
      <c r="AE24" s="761"/>
      <c r="AF24" s="671"/>
      <c r="AG24" s="671"/>
      <c r="AH24" s="761"/>
      <c r="AI24" s="761"/>
      <c r="AJ24" s="759"/>
      <c r="AK24" s="759"/>
      <c r="AL24" s="759"/>
      <c r="AM24" s="759"/>
      <c r="AN24" s="759"/>
      <c r="AO24" s="759"/>
      <c r="AP24" s="759"/>
      <c r="AQ24" s="759"/>
      <c r="AR24" s="685"/>
      <c r="AS24" s="685"/>
      <c r="AT24" s="685"/>
      <c r="AU24" s="685"/>
      <c r="AV24" s="699"/>
      <c r="AW24" s="699"/>
      <c r="AX24" s="759"/>
      <c r="AY24" s="759"/>
      <c r="AZ24" s="763"/>
      <c r="BA24" s="763"/>
      <c r="BB24" s="763"/>
      <c r="BC24" s="143"/>
      <c r="BD24" s="143"/>
      <c r="BE24" s="758"/>
    </row>
    <row r="25" spans="1:78" ht="12.75" hidden="1" customHeight="1">
      <c r="C25" s="521" t="s">
        <v>262</v>
      </c>
      <c r="D25" s="520"/>
      <c r="E25" s="726">
        <f t="shared" ref="E25:AV25" si="9">E23+2*E24</f>
        <v>0</v>
      </c>
      <c r="F25" s="726">
        <f t="shared" si="9"/>
        <v>0</v>
      </c>
      <c r="G25" s="723">
        <f t="shared" si="9"/>
        <v>0</v>
      </c>
      <c r="H25" s="764">
        <f t="shared" si="9"/>
        <v>0</v>
      </c>
      <c r="I25" s="765">
        <f>I23+2*I24</f>
        <v>0</v>
      </c>
      <c r="J25" s="764">
        <f>J23+2*J24</f>
        <v>0</v>
      </c>
      <c r="K25" s="764">
        <f t="shared" si="9"/>
        <v>0</v>
      </c>
      <c r="L25" s="764">
        <f t="shared" si="9"/>
        <v>0</v>
      </c>
      <c r="M25" s="764">
        <f t="shared" si="9"/>
        <v>0</v>
      </c>
      <c r="N25" s="764">
        <f t="shared" si="9"/>
        <v>0</v>
      </c>
      <c r="O25" s="764">
        <f>O23+2*O24</f>
        <v>0</v>
      </c>
      <c r="P25" s="764">
        <f t="shared" si="9"/>
        <v>0</v>
      </c>
      <c r="Q25" s="766">
        <f t="shared" si="9"/>
        <v>0</v>
      </c>
      <c r="R25" s="766">
        <f t="shared" si="9"/>
        <v>0</v>
      </c>
      <c r="S25" s="764">
        <f t="shared" si="9"/>
        <v>0</v>
      </c>
      <c r="T25" s="764">
        <f>T23+2*T24</f>
        <v>0</v>
      </c>
      <c r="U25" s="767">
        <f t="shared" si="9"/>
        <v>0</v>
      </c>
      <c r="V25" s="767">
        <f>V23+2*V24</f>
        <v>0</v>
      </c>
      <c r="W25" s="764">
        <v>0</v>
      </c>
      <c r="X25" s="767">
        <v>0</v>
      </c>
      <c r="Y25" s="787">
        <f>Y23+2*Y24</f>
        <v>0</v>
      </c>
      <c r="Z25" s="723">
        <f t="shared" si="9"/>
        <v>0</v>
      </c>
      <c r="AA25" s="768">
        <f t="shared" si="9"/>
        <v>0</v>
      </c>
      <c r="AB25" s="723">
        <f t="shared" si="9"/>
        <v>0</v>
      </c>
      <c r="AC25" s="723">
        <f>AC23+2*AC24</f>
        <v>0</v>
      </c>
      <c r="AD25" s="723">
        <f t="shared" si="9"/>
        <v>0</v>
      </c>
      <c r="AE25" s="723">
        <f>AE23+2*AE24</f>
        <v>0</v>
      </c>
      <c r="AF25" s="723">
        <f t="shared" si="9"/>
        <v>0</v>
      </c>
      <c r="AG25" s="723">
        <f>AG23+2*AG24</f>
        <v>0</v>
      </c>
      <c r="AH25" s="723">
        <f t="shared" si="9"/>
        <v>0</v>
      </c>
      <c r="AI25" s="723">
        <f>AI23+2*AI24</f>
        <v>0</v>
      </c>
      <c r="AJ25" s="723">
        <f t="shared" si="9"/>
        <v>0</v>
      </c>
      <c r="AK25" s="723">
        <f t="shared" si="9"/>
        <v>0</v>
      </c>
      <c r="AL25" s="723">
        <f t="shared" si="9"/>
        <v>0</v>
      </c>
      <c r="AM25" s="723">
        <f t="shared" si="9"/>
        <v>0</v>
      </c>
      <c r="AN25" s="723">
        <f t="shared" si="9"/>
        <v>0</v>
      </c>
      <c r="AO25" s="723">
        <f t="shared" si="9"/>
        <v>0</v>
      </c>
      <c r="AP25" s="769">
        <f t="shared" si="9"/>
        <v>0</v>
      </c>
      <c r="AQ25" s="769">
        <f>AQ23+2*AQ24</f>
        <v>0</v>
      </c>
      <c r="AR25" s="768">
        <f t="shared" si="9"/>
        <v>0</v>
      </c>
      <c r="AS25" s="768">
        <f>AS23+2*AS24</f>
        <v>0</v>
      </c>
      <c r="AT25" s="770">
        <f t="shared" si="9"/>
        <v>0</v>
      </c>
      <c r="AU25" s="770">
        <f>AU23+2*AU24</f>
        <v>0</v>
      </c>
      <c r="AV25" s="770">
        <f t="shared" si="9"/>
        <v>0</v>
      </c>
      <c r="AW25" s="770">
        <f>AW23+2*AW24</f>
        <v>0</v>
      </c>
      <c r="AX25" s="723">
        <f>AX23+2*AX24</f>
        <v>0</v>
      </c>
      <c r="AY25" s="723">
        <f>AY23+2*AY24</f>
        <v>0</v>
      </c>
      <c r="AZ25" s="723">
        <f>(AZ23-ultimoDiaTrim)+2*AZ24</f>
        <v>0</v>
      </c>
      <c r="BA25" s="723">
        <f>(BA23-ultimoDiaTrim)+2*BA24</f>
        <v>0</v>
      </c>
      <c r="BB25" s="771"/>
      <c r="BC25" s="141">
        <f>BC23+2*BC24</f>
        <v>0</v>
      </c>
      <c r="BD25" s="141">
        <f>BD23+2*BD24</f>
        <v>0</v>
      </c>
      <c r="BE25" s="726">
        <f>BE23+2*BE24</f>
        <v>0</v>
      </c>
    </row>
    <row r="26" spans="1:78" ht="12.75" hidden="1" customHeight="1">
      <c r="C26" s="521" t="s">
        <v>263</v>
      </c>
      <c r="D26" s="520"/>
      <c r="E26" s="726">
        <f t="shared" ref="E26:AV26" si="10">MIN(0,E23-2*E24)</f>
        <v>0</v>
      </c>
      <c r="F26" s="726">
        <f t="shared" si="10"/>
        <v>0</v>
      </c>
      <c r="G26" s="723">
        <f t="shared" si="10"/>
        <v>0</v>
      </c>
      <c r="H26" s="723">
        <f t="shared" si="10"/>
        <v>0</v>
      </c>
      <c r="I26" s="772">
        <f>MIN(0,I23-2*I24)</f>
        <v>0</v>
      </c>
      <c r="J26" s="723">
        <f>MIN(0,J23-2*J24)</f>
        <v>0</v>
      </c>
      <c r="K26" s="723">
        <f t="shared" si="10"/>
        <v>0</v>
      </c>
      <c r="L26" s="723">
        <f t="shared" si="10"/>
        <v>0</v>
      </c>
      <c r="M26" s="723">
        <f t="shared" si="10"/>
        <v>0</v>
      </c>
      <c r="N26" s="723">
        <f t="shared" si="10"/>
        <v>0</v>
      </c>
      <c r="O26" s="723">
        <f>MIN(0,O23-2*O24)</f>
        <v>0</v>
      </c>
      <c r="P26" s="723">
        <f t="shared" si="10"/>
        <v>0</v>
      </c>
      <c r="Q26" s="768">
        <f t="shared" si="10"/>
        <v>0</v>
      </c>
      <c r="R26" s="768">
        <f t="shared" si="10"/>
        <v>0</v>
      </c>
      <c r="S26" s="723">
        <f t="shared" si="10"/>
        <v>0</v>
      </c>
      <c r="T26" s="723">
        <f>MIN(0,T23-2*T24)</f>
        <v>0</v>
      </c>
      <c r="U26" s="770">
        <f t="shared" si="10"/>
        <v>0</v>
      </c>
      <c r="V26" s="770">
        <f>MIN(0,V23-2*V24)</f>
        <v>0</v>
      </c>
      <c r="W26" s="723">
        <v>0</v>
      </c>
      <c r="X26" s="770">
        <v>0</v>
      </c>
      <c r="Y26" s="788">
        <f>MIN(0,Y23-2*Y24)</f>
        <v>0</v>
      </c>
      <c r="Z26" s="723">
        <f t="shared" si="10"/>
        <v>0</v>
      </c>
      <c r="AA26" s="768">
        <f t="shared" si="10"/>
        <v>0</v>
      </c>
      <c r="AB26" s="723">
        <f t="shared" si="10"/>
        <v>0</v>
      </c>
      <c r="AC26" s="723">
        <f>MIN(0,AC23-2*AC24)</f>
        <v>0</v>
      </c>
      <c r="AD26" s="723">
        <f t="shared" si="10"/>
        <v>0</v>
      </c>
      <c r="AE26" s="723">
        <f>MIN(0,AE23-2*AE24)</f>
        <v>0</v>
      </c>
      <c r="AF26" s="723">
        <f t="shared" si="10"/>
        <v>0</v>
      </c>
      <c r="AG26" s="723">
        <f>MIN(0,AG23-2*AG24)</f>
        <v>0</v>
      </c>
      <c r="AH26" s="723">
        <f t="shared" si="10"/>
        <v>0</v>
      </c>
      <c r="AI26" s="723">
        <f>MIN(0,AI23-2*AI24)</f>
        <v>0</v>
      </c>
      <c r="AJ26" s="723">
        <f t="shared" si="10"/>
        <v>0</v>
      </c>
      <c r="AK26" s="723">
        <f t="shared" si="10"/>
        <v>0</v>
      </c>
      <c r="AL26" s="723">
        <f t="shared" si="10"/>
        <v>0</v>
      </c>
      <c r="AM26" s="723">
        <f t="shared" si="10"/>
        <v>0</v>
      </c>
      <c r="AN26" s="723">
        <f t="shared" si="10"/>
        <v>0</v>
      </c>
      <c r="AO26" s="723">
        <f t="shared" si="10"/>
        <v>0</v>
      </c>
      <c r="AP26" s="769">
        <f t="shared" si="10"/>
        <v>0</v>
      </c>
      <c r="AQ26" s="769">
        <f>MIN(0,AQ23-2*AQ24)</f>
        <v>0</v>
      </c>
      <c r="AR26" s="768">
        <f t="shared" si="10"/>
        <v>0</v>
      </c>
      <c r="AS26" s="768">
        <f>MIN(0,AS23-2*AS24)</f>
        <v>0</v>
      </c>
      <c r="AT26" s="770">
        <f t="shared" si="10"/>
        <v>0</v>
      </c>
      <c r="AU26" s="770">
        <f>MIN(0,AU23-2*AU24)</f>
        <v>0</v>
      </c>
      <c r="AV26" s="770">
        <f t="shared" si="10"/>
        <v>0</v>
      </c>
      <c r="AW26" s="770">
        <f>MIN(0,AW23-2*AW24)</f>
        <v>0</v>
      </c>
      <c r="AX26" s="723">
        <f>MIN(0,AX23-2*AX24)</f>
        <v>0</v>
      </c>
      <c r="AY26" s="723">
        <f>MIN(0,AY23-2*AY24)</f>
        <v>0</v>
      </c>
      <c r="AZ26" s="723">
        <f>MIN(0,(AZ23-ultimoDiaTrim)-2*AZ24)</f>
        <v>0</v>
      </c>
      <c r="BA26" s="723">
        <f>MIN(0,(BA23-ultimoDiaTrim)-2*BA24)</f>
        <v>0</v>
      </c>
      <c r="BB26" s="771"/>
      <c r="BC26" s="142">
        <f>MIN(0,BC23-2*BC24)</f>
        <v>0</v>
      </c>
      <c r="BD26" s="142">
        <f>MIN(0,BD23-2*BD24)</f>
        <v>0</v>
      </c>
      <c r="BE26" s="726">
        <f>MIN(0,BE23-2*BE24)</f>
        <v>0</v>
      </c>
    </row>
    <row r="27" spans="1:78">
      <c r="C27" s="71"/>
      <c r="D27" s="71"/>
      <c r="W27"/>
      <c r="X27"/>
    </row>
    <row r="30" spans="1:78">
      <c r="C30" s="644" t="str">
        <f>Criterios!A4</f>
        <v>Fecha Informe: 17 mar. 2026</v>
      </c>
      <c r="W30"/>
      <c r="X30"/>
    </row>
    <row r="32" spans="1:78">
      <c r="C32" s="773"/>
      <c r="D32" s="773"/>
      <c r="W32"/>
      <c r="X32"/>
    </row>
  </sheetData>
  <sheetProtection algorithmName="SHA-512" hashValue="eeuwh9wFC/cfEQrHfQ3pqERyWxjJPjtVsm5047LIJ/1I7VnIzO9FEzHV5PjrV0Da4XW9azw6J0zW3xOeeSOr8g==" saltValue="inwdiAj3csFLOgC/tPuR8g==" spinCount="100000" sheet="1" objects="1" scenarios="1"/>
  <mergeCells count="68">
    <mergeCell ref="G5:G7"/>
    <mergeCell ref="AC5:AC7"/>
    <mergeCell ref="J5:J7"/>
    <mergeCell ref="A5:A7"/>
    <mergeCell ref="C5:C6"/>
    <mergeCell ref="D5:D7"/>
    <mergeCell ref="E5:E7"/>
    <mergeCell ref="F5:F7"/>
    <mergeCell ref="P5:P7"/>
    <mergeCell ref="Q5:Q7"/>
    <mergeCell ref="R5:R7"/>
    <mergeCell ref="S5:S7"/>
    <mergeCell ref="U5:U7"/>
    <mergeCell ref="AD5:AD7"/>
    <mergeCell ref="K5:K7"/>
    <mergeCell ref="L5:L7"/>
    <mergeCell ref="H5:H7"/>
    <mergeCell ref="I5:I7"/>
    <mergeCell ref="M5:M7"/>
    <mergeCell ref="N5:N7"/>
    <mergeCell ref="X5:X7"/>
    <mergeCell ref="Y5:Y7"/>
    <mergeCell ref="Z5:Z7"/>
    <mergeCell ref="O5:O7"/>
    <mergeCell ref="T5:T7"/>
    <mergeCell ref="V5:V7"/>
    <mergeCell ref="W5:W7"/>
    <mergeCell ref="AA5:AA7"/>
    <mergeCell ref="AB5:AB7"/>
    <mergeCell ref="AH5:AH7"/>
    <mergeCell ref="AI5:AI7"/>
    <mergeCell ref="AE5:AE7"/>
    <mergeCell ref="AF5:AF7"/>
    <mergeCell ref="AG5:AG7"/>
    <mergeCell ref="BJ6:BJ7"/>
    <mergeCell ref="BK6:BK7"/>
    <mergeCell ref="BL6:BL7"/>
    <mergeCell ref="BM6:BM7"/>
    <mergeCell ref="AY5:AY7"/>
    <mergeCell ref="AZ5:AZ7"/>
    <mergeCell ref="BB5:BB7"/>
    <mergeCell ref="BF5:BG5"/>
    <mergeCell ref="BJ5:BK5"/>
    <mergeCell ref="BL5:BM5"/>
    <mergeCell ref="BG6:BG7"/>
    <mergeCell ref="BF6:BF7"/>
    <mergeCell ref="BC5:BC7"/>
    <mergeCell ref="BD5:BD7"/>
    <mergeCell ref="BE5:BE7"/>
    <mergeCell ref="BH5:BI5"/>
    <mergeCell ref="BH6:BH7"/>
    <mergeCell ref="BI6:BI7"/>
    <mergeCell ref="AR5:AR7"/>
    <mergeCell ref="AT5:AT7"/>
    <mergeCell ref="AV5:AV7"/>
    <mergeCell ref="AS5:AS7"/>
    <mergeCell ref="AU5:AU7"/>
    <mergeCell ref="AW5:AW7"/>
    <mergeCell ref="BA5:BA7"/>
    <mergeCell ref="AX5:AX7"/>
    <mergeCell ref="AN5:AN7"/>
    <mergeCell ref="AO5:AO7"/>
    <mergeCell ref="AP5:AP7"/>
    <mergeCell ref="AQ5:AQ7"/>
    <mergeCell ref="AJ5:AJ7"/>
    <mergeCell ref="AL5:AL7"/>
    <mergeCell ref="AM5:AM7"/>
    <mergeCell ref="AK5:AK7"/>
  </mergeCells>
  <conditionalFormatting sqref="F9:F12 F15:F17">
    <cfRule type="expression" dxfId="60" priority="126" stopIfTrue="1">
      <formula>IF(F9&lt;&gt;G9,TRUE,FALSE)</formula>
    </cfRule>
    <cfRule type="cellIs" dxfId="59" priority="128" stopIfTrue="1" operator="notBetween">
      <formula>$F$25</formula>
      <formula>$F$26</formula>
    </cfRule>
  </conditionalFormatting>
  <conditionalFormatting sqref="G9">
    <cfRule type="expression" dxfId="58" priority="134" stopIfTrue="1">
      <formula>IF(G9&lt;&gt;H9,TRUE,FALSE)</formula>
    </cfRule>
  </conditionalFormatting>
  <conditionalFormatting sqref="G10 G15:G17">
    <cfRule type="cellIs" dxfId="57" priority="127" stopIfTrue="1" operator="notBetween">
      <formula>$G$25</formula>
      <formula>$G$26</formula>
    </cfRule>
  </conditionalFormatting>
  <conditionalFormatting sqref="H15:H17 H9:H12">
    <cfRule type="cellIs" dxfId="56" priority="133" stopIfTrue="1" operator="notBetween">
      <formula>$H$25</formula>
      <formula>$H$26</formula>
    </cfRule>
  </conditionalFormatting>
  <conditionalFormatting sqref="H11">
    <cfRule type="cellIs" dxfId="55" priority="118" stopIfTrue="1" operator="greaterThan">
      <formula>$BG$11</formula>
    </cfRule>
    <cfRule type="cellIs" dxfId="54" priority="119" stopIfTrue="1" operator="lessThan">
      <formula>$BF$11</formula>
    </cfRule>
  </conditionalFormatting>
  <conditionalFormatting sqref="H12">
    <cfRule type="cellIs" dxfId="53" priority="116" stopIfTrue="1" operator="greaterThan">
      <formula>$BG$12</formula>
    </cfRule>
    <cfRule type="cellIs" dxfId="52" priority="117" stopIfTrue="1" operator="lessThan">
      <formula>$BF$12</formula>
    </cfRule>
  </conditionalFormatting>
  <conditionalFormatting sqref="I9:I12">
    <cfRule type="cellIs" dxfId="51" priority="54" stopIfTrue="1" operator="notBetween">
      <formula>$I$25</formula>
      <formula>$I$26</formula>
    </cfRule>
  </conditionalFormatting>
  <conditionalFormatting sqref="I15:I17">
    <cfRule type="cellIs" dxfId="50" priority="61" stopIfTrue="1" operator="notBetween">
      <formula>$I$25</formula>
      <formula>$I$26</formula>
    </cfRule>
  </conditionalFormatting>
  <conditionalFormatting sqref="J15:J17 J9:J12">
    <cfRule type="cellIs" dxfId="49" priority="45" stopIfTrue="1" operator="notBetween">
      <formula>$J$25</formula>
      <formula>$J$26</formula>
    </cfRule>
  </conditionalFormatting>
  <conditionalFormatting sqref="K15:K17 K9:K12">
    <cfRule type="cellIs" dxfId="48" priority="113" stopIfTrue="1" operator="notBetween">
      <formula>$K$25</formula>
      <formula>$K$26</formula>
    </cfRule>
  </conditionalFormatting>
  <conditionalFormatting sqref="L15:L17 L9:L12">
    <cfRule type="cellIs" dxfId="47" priority="112" stopIfTrue="1" operator="notBetween">
      <formula>$L$25</formula>
      <formula>$L$26</formula>
    </cfRule>
  </conditionalFormatting>
  <conditionalFormatting sqref="N15:N17 N9:N12">
    <cfRule type="cellIs" dxfId="46" priority="70" stopIfTrue="1" operator="notBetween">
      <formula>$N$25</formula>
      <formula>$N$26</formula>
    </cfRule>
  </conditionalFormatting>
  <conditionalFormatting sqref="O15:O17 O9:O12">
    <cfRule type="cellIs" dxfId="45" priority="44" stopIfTrue="1" operator="notBetween">
      <formula>$O$25</formula>
      <formula>$O$26</formula>
    </cfRule>
  </conditionalFormatting>
  <conditionalFormatting sqref="P15:P17 P9:P12">
    <cfRule type="cellIs" dxfId="44" priority="111" stopIfTrue="1" operator="notBetween">
      <formula>$P$25</formula>
      <formula>$P$26</formula>
    </cfRule>
  </conditionalFormatting>
  <conditionalFormatting sqref="R15:R17 R9:R12">
    <cfRule type="cellIs" dxfId="43" priority="109" stopIfTrue="1" operator="notBetween">
      <formula>$R$25</formula>
      <formula>$R$26</formula>
    </cfRule>
  </conditionalFormatting>
  <conditionalFormatting sqref="S15:S17 S9:S12">
    <cfRule type="cellIs" dxfId="42" priority="108" stopIfTrue="1" operator="notBetween">
      <formula>$S$25</formula>
      <formula>$S$26</formula>
    </cfRule>
  </conditionalFormatting>
  <conditionalFormatting sqref="T15:T17 T9:T12">
    <cfRule type="cellIs" dxfId="41" priority="43" stopIfTrue="1" operator="notBetween">
      <formula>$T$25</formula>
      <formula>$T$26</formula>
    </cfRule>
  </conditionalFormatting>
  <conditionalFormatting sqref="U15:U17 U9:U12">
    <cfRule type="cellIs" dxfId="40" priority="107" stopIfTrue="1" operator="notBetween">
      <formula>$U$25</formula>
      <formula>$U$26</formula>
    </cfRule>
  </conditionalFormatting>
  <conditionalFormatting sqref="V15:V17 V9:V12">
    <cfRule type="cellIs" dxfId="39" priority="42" stopIfTrue="1" operator="notBetween">
      <formula>$V$25</formula>
      <formula>$V$26</formula>
    </cfRule>
  </conditionalFormatting>
  <conditionalFormatting sqref="Y15:Y17 Y9:Y12">
    <cfRule type="cellIs" dxfId="38" priority="59" stopIfTrue="1" operator="notBetween">
      <formula>$Y$25</formula>
      <formula>$Y$26</formula>
    </cfRule>
  </conditionalFormatting>
  <conditionalFormatting sqref="Z15:Z17 Z9:Z12">
    <cfRule type="cellIs" dxfId="37" priority="104" stopIfTrue="1" operator="notBetween">
      <formula>$Z$25</formula>
      <formula>$Z$26</formula>
    </cfRule>
  </conditionalFormatting>
  <conditionalFormatting sqref="AA15:AA17 AA9:AA12">
    <cfRule type="cellIs" dxfId="36" priority="103" stopIfTrue="1" operator="notBetween">
      <formula>$AA$25</formula>
      <formula>$AA$26</formula>
    </cfRule>
  </conditionalFormatting>
  <conditionalFormatting sqref="AB15:AB17 AB9:AB12">
    <cfRule type="cellIs" dxfId="35" priority="102" stopIfTrue="1" operator="notBetween">
      <formula>$AB$25</formula>
      <formula>$AB$26</formula>
    </cfRule>
  </conditionalFormatting>
  <conditionalFormatting sqref="AC15:AC17 AC9:AC12">
    <cfRule type="cellIs" dxfId="34" priority="37" stopIfTrue="1" operator="notBetween">
      <formula>$AC$25</formula>
      <formula>$AC$26</formula>
    </cfRule>
  </conditionalFormatting>
  <conditionalFormatting sqref="AD15:AD17 AD9:AD12">
    <cfRule type="cellIs" dxfId="33" priority="49" stopIfTrue="1" operator="notBetween">
      <formula>$AD$25</formula>
      <formula>$AD$26</formula>
    </cfRule>
  </conditionalFormatting>
  <conditionalFormatting sqref="AE15:AE17 AE9:AE12">
    <cfRule type="cellIs" dxfId="32" priority="36" stopIfTrue="1" operator="notBetween">
      <formula>$AE$25</formula>
      <formula>$AE$26</formula>
    </cfRule>
  </conditionalFormatting>
  <conditionalFormatting sqref="AF15:AF17 AF9:AF12">
    <cfRule type="cellIs" dxfId="31" priority="101" stopIfTrue="1" operator="notBetween">
      <formula>$AF$25</formula>
      <formula>$AF$26</formula>
    </cfRule>
  </conditionalFormatting>
  <conditionalFormatting sqref="AG15:AG17 AG9:AG12">
    <cfRule type="cellIs" dxfId="30" priority="35" stopIfTrue="1" operator="notBetween">
      <formula>$AG$25</formula>
      <formula>$AG$26</formula>
    </cfRule>
  </conditionalFormatting>
  <conditionalFormatting sqref="AH9:AH12">
    <cfRule type="cellIs" dxfId="29" priority="98" stopIfTrue="1" operator="notBetween">
      <formula>$AH$25</formula>
      <formula>$AH$26</formula>
    </cfRule>
  </conditionalFormatting>
  <conditionalFormatting sqref="AH15:AH17">
    <cfRule type="cellIs" dxfId="28" priority="100" stopIfTrue="1" operator="notBetween">
      <formula>$AH$25</formula>
      <formula>$AH$26</formula>
    </cfRule>
  </conditionalFormatting>
  <conditionalFormatting sqref="AI9:AI12">
    <cfRule type="cellIs" dxfId="27" priority="33" stopIfTrue="1" operator="notBetween">
      <formula>$AI$25</formula>
      <formula>$AI$26</formula>
    </cfRule>
  </conditionalFormatting>
  <conditionalFormatting sqref="AI15:AI17">
    <cfRule type="cellIs" dxfId="26" priority="34" stopIfTrue="1" operator="notBetween">
      <formula>$AI$25</formula>
      <formula>$AI$26</formula>
    </cfRule>
  </conditionalFormatting>
  <conditionalFormatting sqref="AJ12 AJ9:AJ10 AJ15:AJ17">
    <cfRule type="cellIs" dxfId="25" priority="94" stopIfTrue="1" operator="notBetween">
      <formula>$AJ$25</formula>
      <formula>$AJ$26</formula>
    </cfRule>
  </conditionalFormatting>
  <conditionalFormatting sqref="AK9:AK12">
    <cfRule type="cellIs" dxfId="24" priority="90" stopIfTrue="1" operator="notBetween">
      <formula>$AK$25</formula>
      <formula>$AK$26</formula>
    </cfRule>
  </conditionalFormatting>
  <conditionalFormatting sqref="AK15:AK17">
    <cfRule type="cellIs" dxfId="23" priority="93" stopIfTrue="1" operator="notBetween">
      <formula>$AK$25</formula>
      <formula>$AK$26</formula>
    </cfRule>
  </conditionalFormatting>
  <conditionalFormatting sqref="AL9:AL12">
    <cfRule type="cellIs" dxfId="22" priority="84" stopIfTrue="1" operator="notBetween">
      <formula>$AL$25</formula>
      <formula>$AL$26</formula>
    </cfRule>
  </conditionalFormatting>
  <conditionalFormatting sqref="AL15:AL17">
    <cfRule type="cellIs" dxfId="21" priority="89" stopIfTrue="1" operator="notBetween">
      <formula>$AL$25</formula>
      <formula>$AL$26</formula>
    </cfRule>
  </conditionalFormatting>
  <conditionalFormatting sqref="AM15:AM17 AM9:AM12">
    <cfRule type="cellIs" dxfId="20" priority="83" stopIfTrue="1" operator="notBetween">
      <formula>$AM$25</formula>
      <formula>$AM$26</formula>
    </cfRule>
  </conditionalFormatting>
  <conditionalFormatting sqref="AN15:AN17 AN9:AN12">
    <cfRule type="cellIs" dxfId="19" priority="82" stopIfTrue="1" operator="notBetween">
      <formula>$AN$25</formula>
      <formula>$AN$26</formula>
    </cfRule>
  </conditionalFormatting>
  <conditionalFormatting sqref="AO15:AO17 AO9:AO12">
    <cfRule type="cellIs" dxfId="18" priority="81" stopIfTrue="1" operator="notBetween">
      <formula>$AO$25</formula>
      <formula>$AO$26</formula>
    </cfRule>
  </conditionalFormatting>
  <conditionalFormatting sqref="AP15:AP17 AP9:AP12">
    <cfRule type="cellIs" dxfId="17" priority="80" stopIfTrue="1" operator="notBetween">
      <formula>$AP$25</formula>
      <formula>$AP$26</formula>
    </cfRule>
  </conditionalFormatting>
  <conditionalFormatting sqref="AQ15:AQ17 AQ9:AQ12">
    <cfRule type="cellIs" dxfId="16" priority="30" stopIfTrue="1" operator="notBetween">
      <formula>$AQ$25</formula>
      <formula>$AQ$26</formula>
    </cfRule>
  </conditionalFormatting>
  <conditionalFormatting sqref="AR15:AR17 AR9:AR12">
    <cfRule type="cellIs" dxfId="15" priority="78" stopIfTrue="1" operator="notBetween">
      <formula>$AR$25</formula>
      <formula>$AR$26</formula>
    </cfRule>
  </conditionalFormatting>
  <conditionalFormatting sqref="AS15:AS17 AS9:AS12">
    <cfRule type="cellIs" dxfId="14" priority="29" stopIfTrue="1" operator="notBetween">
      <formula>$AS$25</formula>
      <formula>$AS$26</formula>
    </cfRule>
  </conditionalFormatting>
  <conditionalFormatting sqref="AT9:AT12">
    <cfRule type="cellIs" dxfId="13" priority="76" stopIfTrue="1" operator="notBetween">
      <formula>$AT$25</formula>
      <formula>$AT$26</formula>
    </cfRule>
  </conditionalFormatting>
  <conditionalFormatting sqref="AT15:AT17">
    <cfRule type="cellIs" dxfId="12" priority="77" stopIfTrue="1" operator="notBetween">
      <formula>$AT$25</formula>
      <formula>$AT$26</formula>
    </cfRule>
  </conditionalFormatting>
  <conditionalFormatting sqref="AU15:AU17 AU8:AU12">
    <cfRule type="cellIs" dxfId="11" priority="15" stopIfTrue="1" operator="notBetween">
      <formula>$AU$25</formula>
      <formula>$AU$26</formula>
    </cfRule>
  </conditionalFormatting>
  <conditionalFormatting sqref="AV15:AV17 AV9:AV12">
    <cfRule type="cellIs" dxfId="10" priority="75" stopIfTrue="1" operator="notBetween">
      <formula>$AV$25</formula>
      <formula>$AV$26</formula>
    </cfRule>
  </conditionalFormatting>
  <conditionalFormatting sqref="AW15:AW17 AW9:AW12">
    <cfRule type="cellIs" dxfId="9" priority="16" stopIfTrue="1" operator="notBetween">
      <formula>$AW$25</formula>
      <formula>$AW$26</formula>
    </cfRule>
  </conditionalFormatting>
  <conditionalFormatting sqref="AX9:AX12">
    <cfRule type="cellIs" dxfId="8" priority="1" stopIfTrue="1" operator="notBetween">
      <formula>$AX$25</formula>
      <formula>$AX$26</formula>
    </cfRule>
  </conditionalFormatting>
  <conditionalFormatting sqref="AX15:AX17">
    <cfRule type="cellIs" dxfId="7" priority="2" stopIfTrue="1" operator="notBetween">
      <formula>$AX$25</formula>
      <formula>$AX$26</formula>
    </cfRule>
  </conditionalFormatting>
  <conditionalFormatting sqref="AY9:AY12">
    <cfRule type="cellIs" dxfId="6" priority="72" stopIfTrue="1" operator="notBetween">
      <formula>$AY$25</formula>
      <formula>$AY$26</formula>
    </cfRule>
  </conditionalFormatting>
  <conditionalFormatting sqref="AY15:AY17">
    <cfRule type="cellIs" dxfId="5" priority="74" stopIfTrue="1" operator="notBetween">
      <formula>$AY$25</formula>
      <formula>$AY$26</formula>
    </cfRule>
  </conditionalFormatting>
  <conditionalFormatting sqref="BF8:BM8 BF13:BM14 BF18:BM19">
    <cfRule type="cellIs" dxfId="4" priority="130" stopIfTrue="1" operator="equal">
      <formula>$A$31</formula>
    </cfRule>
  </conditionalFormatting>
  <conditionalFormatting sqref="BF15:BM17 BF9:BM12">
    <cfRule type="cellIs" dxfId="3" priority="129" stopIfTrue="1" operator="equal">
      <formula>$A$31</formula>
    </cfRule>
  </conditionalFormatting>
  <conditionalFormatting sqref="E9:E12">
    <cfRule type="cellIs" dxfId="2" priority="4059" stopIfTrue="1" operator="notBetween">
      <formula>$E$25</formula>
      <formula>$E$26</formula>
    </cfRule>
  </conditionalFormatting>
  <conditionalFormatting sqref="AZ9:AZ12 AZ14:AZ17">
    <cfRule type="expression" dxfId="1" priority="4406" stopIfTrue="1">
      <formula>NOT(AND($AZ9-ultimoDiaTrim&gt;=$AZ$26,$AZ9-ultimoDiaTrim&lt;=$AZ$25))</formula>
    </cfRule>
  </conditionalFormatting>
  <conditionalFormatting sqref="BA9:BA12 BA14:BA17">
    <cfRule type="expression" dxfId="0" priority="4408" stopIfTrue="1">
      <formula>NOT(AND($BA9-ultimoDiaTrim&gt;=$BA$26,$BA9-ultimoDiaTrim&lt;=$BA$25))</formula>
    </cfRule>
  </conditionalFormatting>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44</vt:i4>
      </vt:variant>
    </vt:vector>
  </HeadingPairs>
  <TitlesOfParts>
    <vt:vector size="51" baseType="lpstr">
      <vt:lpstr>Criterios</vt:lpstr>
      <vt:lpstr>NºAsuntos</vt:lpstr>
      <vt:lpstr>Resol  Asuntos</vt:lpstr>
      <vt:lpstr>Ejecu  Sentencias</vt:lpstr>
      <vt:lpstr>Evolución</vt:lpstr>
      <vt:lpstr>Tasas</vt:lpstr>
      <vt:lpstr>Definiciones</vt:lpstr>
      <vt:lpstr>agrupada</vt:lpstr>
      <vt:lpstr>Año</vt:lpstr>
      <vt:lpstr>Criterios!Área_de_impresión</vt:lpstr>
      <vt:lpstr>Datos!Área_de_impresión</vt:lpstr>
      <vt:lpstr>DatosB!Área_de_impresión</vt:lpstr>
      <vt:lpstr>Definiciones!Área_de_impresión</vt:lpstr>
      <vt:lpstr>'Ejecu  Sentencias'!Área_de_impresión</vt:lpstr>
      <vt:lpstr>Evolucion!Área_de_impresión</vt:lpstr>
      <vt:lpstr>Evolución!Área_de_impresión</vt:lpstr>
      <vt:lpstr>Indicadores!Área_de_impresión</vt:lpstr>
      <vt:lpstr>'Indicadores CA'!Área_de_impresión</vt:lpstr>
      <vt:lpstr>'Indicadores CA Reducida'!Área_de_impresión</vt:lpstr>
      <vt:lpstr>'Indicadores Penal'!Área_de_impresión</vt:lpstr>
      <vt:lpstr>Juez!Área_de_impresión</vt:lpstr>
      <vt:lpstr>Modulos!Área_de_impresión</vt:lpstr>
      <vt:lpstr>NºAsuntos!Área_de_impresión</vt:lpstr>
      <vt:lpstr>PyL!Área_de_impresión</vt:lpstr>
      <vt:lpstr>'Resol  Asuntos'!Área_de_impresión</vt:lpstr>
      <vt:lpstr>Resumen!Área_de_impresión</vt:lpstr>
      <vt:lpstr>Tasas!Área_de_impresión</vt:lpstr>
      <vt:lpstr>boletin</vt:lpstr>
      <vt:lpstr>D_I</vt:lpstr>
      <vt:lpstr>factor_trimestre</vt:lpstr>
      <vt:lpstr>J_V</vt:lpstr>
      <vt:lpstr>jurisdiccion</vt:lpstr>
      <vt:lpstr>salto</vt:lpstr>
      <vt:lpstr>Datos!Títulos_a_imprimir</vt:lpstr>
      <vt:lpstr>DatosB!Títulos_a_imprimir</vt:lpstr>
      <vt:lpstr>'Ejecu  Sentencias'!Títulos_a_imprimir</vt:lpstr>
      <vt:lpstr>Evolucion!Títulos_a_imprimir</vt:lpstr>
      <vt:lpstr>Evolución!Títulos_a_imprimir</vt:lpstr>
      <vt:lpstr>Indicadores!Títulos_a_imprimir</vt:lpstr>
      <vt:lpstr>'Indicadores CA'!Títulos_a_imprimir</vt:lpstr>
      <vt:lpstr>'Indicadores CA Reducida'!Títulos_a_imprimir</vt:lpstr>
      <vt:lpstr>'Indicadores Penal'!Títulos_a_imprimir</vt:lpstr>
      <vt:lpstr>Juez!Títulos_a_imprimir</vt:lpstr>
      <vt:lpstr>Modulos!Títulos_a_imprimir</vt:lpstr>
      <vt:lpstr>NºAsuntos!Títulos_a_imprimir</vt:lpstr>
      <vt:lpstr>PyL!Títulos_a_imprimir</vt:lpstr>
      <vt:lpstr>'Resol  Asuntos'!Títulos_a_imprimir</vt:lpstr>
      <vt:lpstr>Resumen!Títulos_a_imprimir</vt:lpstr>
      <vt:lpstr>TrimFin</vt:lpstr>
      <vt:lpstr>TrimIni</vt:lpstr>
      <vt:lpstr>ultimoDiaTrim</vt:lpstr>
    </vt:vector>
  </TitlesOfParts>
  <Company>Alamo-Online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Bull</dc:creator>
  <cp:lastModifiedBy>usuario_servicio</cp:lastModifiedBy>
  <cp:lastPrinted>2021-10-22T08:26:52Z</cp:lastPrinted>
  <dcterms:created xsi:type="dcterms:W3CDTF">2003-07-15T10:22:03Z</dcterms:created>
  <dcterms:modified xsi:type="dcterms:W3CDTF">2026-03-17T19:31:28Z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657998575</vt:i4>
  </property>
  <property fmtid="{D5CDD505-2E9C-101B-9397-08002B2CF9AE}" pid="3" name="_NewReviewCycle">
    <vt:lpwstr/>
  </property>
  <property fmtid="{D5CDD505-2E9C-101B-9397-08002B2CF9AE}" pid="4" name="_EmailSubject">
    <vt:lpwstr>AJonlineN modificada</vt:lpwstr>
  </property>
  <property fmtid="{D5CDD505-2E9C-101B-9397-08002B2CF9AE}" pid="5" name="_AuthorEmail">
    <vt:lpwstr>jose-manuel.hernandez@atos.net</vt:lpwstr>
  </property>
  <property fmtid="{D5CDD505-2E9C-101B-9397-08002B2CF9AE}" pid="6" name="_AuthorEmailDisplayName">
    <vt:lpwstr>Hernandez Mayor, Jose Manuel</vt:lpwstr>
  </property>
  <property fmtid="{D5CDD505-2E9C-101B-9397-08002B2CF9AE}" pid="7" name="_PreviousAdHocReviewCycleID">
    <vt:i4>-775405538</vt:i4>
  </property>
  <property fmtid="{D5CDD505-2E9C-101B-9397-08002B2CF9AE}" pid="8" name="_ReviewingToolsShownOnce">
    <vt:lpwstr/>
  </property>
  <property fmtid="{D5CDD505-2E9C-101B-9397-08002B2CF9AE}" pid="9" name="MSIP_Label_e463cba9-5f6c-478d-9329-7b2295e4e8ed_Enabled">
    <vt:lpwstr>true</vt:lpwstr>
  </property>
  <property fmtid="{D5CDD505-2E9C-101B-9397-08002B2CF9AE}" pid="10" name="MSIP_Label_e463cba9-5f6c-478d-9329-7b2295e4e8ed_SetDate">
    <vt:lpwstr>2021-04-12T13:28:01Z</vt:lpwstr>
  </property>
  <property fmtid="{D5CDD505-2E9C-101B-9397-08002B2CF9AE}" pid="11" name="MSIP_Label_e463cba9-5f6c-478d-9329-7b2295e4e8ed_Method">
    <vt:lpwstr>Standard</vt:lpwstr>
  </property>
  <property fmtid="{D5CDD505-2E9C-101B-9397-08002B2CF9AE}" pid="12" name="MSIP_Label_e463cba9-5f6c-478d-9329-7b2295e4e8ed_Name">
    <vt:lpwstr>All Employees_2</vt:lpwstr>
  </property>
  <property fmtid="{D5CDD505-2E9C-101B-9397-08002B2CF9AE}" pid="13" name="MSIP_Label_e463cba9-5f6c-478d-9329-7b2295e4e8ed_SiteId">
    <vt:lpwstr>33440fc6-b7c7-412c-bb73-0e70b0198d5a</vt:lpwstr>
  </property>
  <property fmtid="{D5CDD505-2E9C-101B-9397-08002B2CF9AE}" pid="14" name="MSIP_Label_e463cba9-5f6c-478d-9329-7b2295e4e8ed_ActionId">
    <vt:lpwstr>52280e35-5067-4e1c-888a-1c3588201c41</vt:lpwstr>
  </property>
  <property fmtid="{D5CDD505-2E9C-101B-9397-08002B2CF9AE}" pid="15" name="MSIP_Label_e463cba9-5f6c-478d-9329-7b2295e4e8ed_ContentBits">
    <vt:lpwstr>0</vt:lpwstr>
  </property>
  <property fmtid="{D5CDD505-2E9C-101B-9397-08002B2CF9AE}" pid="16" name="MSIP_Label_ecb69475-382c-4c7a-b21d-8ca64eeef1bd_Enabled">
    <vt:lpwstr>true</vt:lpwstr>
  </property>
  <property fmtid="{D5CDD505-2E9C-101B-9397-08002B2CF9AE}" pid="17" name="MSIP_Label_ecb69475-382c-4c7a-b21d-8ca64eeef1bd_SetDate">
    <vt:lpwstr>2024-01-29T10:10:07Z</vt:lpwstr>
  </property>
  <property fmtid="{D5CDD505-2E9C-101B-9397-08002B2CF9AE}" pid="18" name="MSIP_Label_ecb69475-382c-4c7a-b21d-8ca64eeef1bd_Method">
    <vt:lpwstr>Standard</vt:lpwstr>
  </property>
  <property fmtid="{D5CDD505-2E9C-101B-9397-08002B2CF9AE}" pid="19" name="MSIP_Label_ecb69475-382c-4c7a-b21d-8ca64eeef1bd_Name">
    <vt:lpwstr>Eviden For Internal Use - All Employees</vt:lpwstr>
  </property>
  <property fmtid="{D5CDD505-2E9C-101B-9397-08002B2CF9AE}" pid="20" name="MSIP_Label_ecb69475-382c-4c7a-b21d-8ca64eeef1bd_SiteId">
    <vt:lpwstr>7d1c7785-2d8a-437d-b842-1ed5d8fbe00a</vt:lpwstr>
  </property>
  <property fmtid="{D5CDD505-2E9C-101B-9397-08002B2CF9AE}" pid="21" name="MSIP_Label_ecb69475-382c-4c7a-b21d-8ca64eeef1bd_ActionId">
    <vt:lpwstr>9dce28c5-b2f4-4f8e-ba62-67a9004da9a3</vt:lpwstr>
  </property>
  <property fmtid="{D5CDD505-2E9C-101B-9397-08002B2CF9AE}" pid="22" name="MSIP_Label_ecb69475-382c-4c7a-b21d-8ca64eeef1bd_ContentBits">
    <vt:lpwstr>0</vt:lpwstr>
  </property>
</Properties>
</file>